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8"/>
  <workbookPr/>
  <mc:AlternateContent xmlns:mc="http://schemas.openxmlformats.org/markup-compatibility/2006">
    <mc:Choice Requires="x15">
      <x15ac:absPath xmlns:x15ac="http://schemas.microsoft.com/office/spreadsheetml/2010/11/ac" url="/Users/michael/Library/Mobile Documents/com~apple~CloudDocs/Downloads/"/>
    </mc:Choice>
  </mc:AlternateContent>
  <xr:revisionPtr revIDLastSave="0" documentId="13_ncr:1_{2E8DFC28-B218-7841-A7C1-3CE52C97820D}" xr6:coauthVersionLast="47" xr6:coauthVersionMax="47" xr10:uidLastSave="{00000000-0000-0000-0000-000000000000}"/>
  <bookViews>
    <workbookView xWindow="0" yWindow="1580" windowWidth="29400" windowHeight="16020" xr2:uid="{00000000-000D-0000-FFFF-FFFF00000000}"/>
  </bookViews>
  <sheets>
    <sheet name="raven-a1_bom" sheetId="2" r:id="rId1"/>
    <sheet name="ROM_PLCC" sheetId="8" r:id="rId2"/>
    <sheet name="SIMM16M" sheetId="7" r:id="rId3"/>
    <sheet name="Programmer" sheetId="6" r:id="rId4"/>
    <sheet name="IDESWP" sheetId="5" r:id="rId5"/>
    <sheet name="CKBD" sheetId="3" r:id="rId6"/>
    <sheet name="Zusammenfassung" sheetId="4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3" l="1"/>
  <c r="B8" i="5"/>
  <c r="B12" i="6"/>
  <c r="B8" i="7"/>
  <c r="B9" i="8"/>
  <c r="J2" i="2"/>
  <c r="J3" i="2"/>
  <c r="J19" i="2"/>
  <c r="K19" i="2" s="1"/>
  <c r="J28" i="2"/>
  <c r="K28" i="2" s="1"/>
  <c r="J29" i="2"/>
  <c r="K29" i="2" s="1"/>
  <c r="J30" i="2"/>
  <c r="K30" i="2" s="1"/>
  <c r="J33" i="2"/>
  <c r="K33" i="2" s="1"/>
  <c r="J34" i="2"/>
  <c r="J35" i="2"/>
  <c r="J36" i="2"/>
  <c r="J37" i="2"/>
  <c r="J41" i="2"/>
  <c r="K41" i="2" s="1"/>
  <c r="J44" i="2"/>
  <c r="K44" i="2" s="1"/>
  <c r="J46" i="2"/>
  <c r="K46" i="2" s="1"/>
  <c r="J52" i="2"/>
  <c r="K52" i="2" s="1"/>
  <c r="J53" i="2"/>
  <c r="J54" i="2"/>
  <c r="K54" i="2" s="1"/>
  <c r="J57" i="2"/>
  <c r="J64" i="2"/>
  <c r="K64" i="2" s="1"/>
  <c r="J65" i="2"/>
  <c r="K65" i="2" s="1"/>
  <c r="J66" i="2"/>
  <c r="K66" i="2" s="1"/>
  <c r="J67" i="2"/>
  <c r="K67" i="2" s="1"/>
  <c r="J68" i="2"/>
  <c r="K68" i="2" s="1"/>
  <c r="J69" i="2"/>
  <c r="J70" i="2"/>
  <c r="J71" i="2"/>
  <c r="J72" i="2"/>
  <c r="J73" i="2"/>
  <c r="K73" i="2" s="1"/>
  <c r="K2" i="2"/>
  <c r="K3" i="2"/>
  <c r="K34" i="2"/>
  <c r="K35" i="2"/>
  <c r="K36" i="2"/>
  <c r="K37" i="2"/>
  <c r="K53" i="2"/>
  <c r="K57" i="2"/>
  <c r="K69" i="2"/>
  <c r="K70" i="2"/>
  <c r="K71" i="2"/>
  <c r="K72" i="2"/>
  <c r="J2" i="8"/>
  <c r="J4" i="8"/>
  <c r="J6" i="8" s="1"/>
  <c r="K2" i="8"/>
  <c r="N3" i="8"/>
  <c r="M76" i="2"/>
  <c r="N76" i="2" s="1"/>
  <c r="M49" i="2"/>
  <c r="N49" i="2" s="1"/>
  <c r="M55" i="2"/>
  <c r="N55" i="2" s="1"/>
  <c r="M51" i="2"/>
  <c r="N51" i="2" s="1"/>
  <c r="N50" i="2"/>
  <c r="M50" i="2"/>
  <c r="M20" i="2"/>
  <c r="N20" i="2" s="1"/>
  <c r="M79" i="2"/>
  <c r="N79" i="2" s="1"/>
  <c r="M78" i="2"/>
  <c r="N78" i="2" s="1"/>
  <c r="N15" i="2"/>
  <c r="N16" i="2"/>
  <c r="N17" i="2"/>
  <c r="N24" i="2"/>
  <c r="N25" i="2"/>
  <c r="N26" i="2"/>
  <c r="N27" i="2"/>
  <c r="N31" i="2"/>
  <c r="N32" i="2"/>
  <c r="N38" i="2"/>
  <c r="N39" i="2"/>
  <c r="N40" i="2"/>
  <c r="N42" i="2"/>
  <c r="N43" i="2"/>
  <c r="N45" i="2"/>
  <c r="N58" i="2"/>
  <c r="N60" i="2"/>
  <c r="N62" i="2"/>
  <c r="N63" i="2"/>
  <c r="N75" i="2"/>
  <c r="N80" i="2"/>
  <c r="K5" i="6"/>
  <c r="N10" i="3"/>
  <c r="N9" i="3"/>
  <c r="N8" i="3"/>
  <c r="N3" i="5"/>
  <c r="N4" i="6"/>
  <c r="N3" i="6"/>
  <c r="F92" i="2"/>
  <c r="F93" i="2"/>
  <c r="E92" i="2"/>
  <c r="E94" i="2" s="1"/>
  <c r="C92" i="2"/>
  <c r="C94" i="2" s="1"/>
  <c r="C93" i="2"/>
  <c r="B92" i="2"/>
  <c r="B94" i="2" s="1"/>
  <c r="M2" i="3"/>
  <c r="N2" i="3" s="1"/>
  <c r="N12" i="3" s="1"/>
  <c r="J3" i="3"/>
  <c r="K3" i="3"/>
  <c r="J4" i="3"/>
  <c r="K4" i="3" s="1"/>
  <c r="K12" i="3" s="1"/>
  <c r="B7" i="4" s="1"/>
  <c r="J5" i="3"/>
  <c r="K5" i="3" s="1"/>
  <c r="J6" i="3"/>
  <c r="K6" i="3" s="1"/>
  <c r="J7" i="3"/>
  <c r="K7" i="3" s="1"/>
  <c r="M11" i="3"/>
  <c r="N11" i="3" s="1"/>
  <c r="M4" i="5"/>
  <c r="N4" i="5"/>
  <c r="N5" i="5"/>
  <c r="J2" i="5"/>
  <c r="K2" i="5" s="1"/>
  <c r="K5" i="5" s="1"/>
  <c r="B6" i="4" s="1"/>
  <c r="M8" i="6"/>
  <c r="N8" i="6"/>
  <c r="N9" i="6"/>
  <c r="J2" i="6"/>
  <c r="K2" i="6" s="1"/>
  <c r="K9" i="6" s="1"/>
  <c r="B5" i="4" s="1"/>
  <c r="J9" i="6"/>
  <c r="J5" i="6"/>
  <c r="J6" i="6"/>
  <c r="K6" i="6"/>
  <c r="J7" i="6"/>
  <c r="K7" i="6"/>
  <c r="M4" i="7"/>
  <c r="N4" i="7" s="1"/>
  <c r="N5" i="7" s="1"/>
  <c r="J2" i="7"/>
  <c r="J3" i="7"/>
  <c r="K3" i="7" s="1"/>
  <c r="M5" i="8"/>
  <c r="N5" i="8" s="1"/>
  <c r="M74" i="2"/>
  <c r="N74" i="2" s="1"/>
  <c r="B93" i="2"/>
  <c r="J5" i="5"/>
  <c r="K2" i="7"/>
  <c r="N81" i="2"/>
  <c r="F94" i="2"/>
  <c r="M81" i="2"/>
  <c r="E93" i="2"/>
  <c r="J12" i="3" l="1"/>
  <c r="K5" i="7"/>
  <c r="B4" i="4" s="1"/>
  <c r="J5" i="7"/>
  <c r="N6" i="8"/>
  <c r="K4" i="8"/>
  <c r="K6" i="8" s="1"/>
  <c r="B3" i="4" s="1"/>
  <c r="J82" i="2"/>
  <c r="N82" i="2"/>
  <c r="K82" i="2"/>
  <c r="B2" i="4" l="1"/>
  <c r="B9" i="4" s="1"/>
  <c r="B85" i="2"/>
</calcChain>
</file>

<file path=xl/sharedStrings.xml><?xml version="1.0" encoding="utf-8"?>
<sst xmlns="http://schemas.openxmlformats.org/spreadsheetml/2006/main" count="713" uniqueCount="488">
  <si>
    <t>Manufacturer</t>
  </si>
  <si>
    <t xml:space="preserve"> Part number </t>
  </si>
  <si>
    <t xml:space="preserve"> Value </t>
  </si>
  <si>
    <t xml:space="preserve"> Note </t>
  </si>
  <si>
    <t xml:space="preserve">Panasonic </t>
  </si>
  <si>
    <t xml:space="preserve"> EEU-EB1H100SH </t>
  </si>
  <si>
    <t xml:space="preserve"> 10u </t>
  </si>
  <si>
    <t/>
  </si>
  <si>
    <t xml:space="preserve"> EEU-EB1H4R7SH </t>
  </si>
  <si>
    <t xml:space="preserve"> 4u7 </t>
  </si>
  <si>
    <t xml:space="preserve">Kemet </t>
  </si>
  <si>
    <t xml:space="preserve"> C1206C105K4RACTU</t>
  </si>
  <si>
    <t xml:space="preserve"> 1u</t>
  </si>
  <si>
    <t xml:space="preserve"> C1206C104K5RACTU</t>
  </si>
  <si>
    <t xml:space="preserve"> 0.1u</t>
  </si>
  <si>
    <t xml:space="preserve"> C1206C103K2RACTU</t>
  </si>
  <si>
    <t xml:space="preserve"> 0.01u </t>
  </si>
  <si>
    <t xml:space="preserve"> C1206C330J1GACTU</t>
  </si>
  <si>
    <t xml:space="preserve"> 33p </t>
  </si>
  <si>
    <t xml:space="preserve">Yageo </t>
  </si>
  <si>
    <t xml:space="preserve"> RT1206FRE0710KL </t>
  </si>
  <si>
    <t xml:space="preserve"> 10k </t>
  </si>
  <si>
    <t xml:space="preserve"> RT1206FRE074K7L </t>
  </si>
  <si>
    <t xml:space="preserve"> 4k7 </t>
  </si>
  <si>
    <t xml:space="preserve"> RT1206FRE072K2L </t>
  </si>
  <si>
    <t xml:space="preserve"> 2k2 </t>
  </si>
  <si>
    <t xml:space="preserve"> RT1206FRE071KL</t>
  </si>
  <si>
    <t xml:space="preserve"> 1k</t>
  </si>
  <si>
    <t xml:space="preserve"> RT1206FRE07470RL</t>
  </si>
  <si>
    <t xml:space="preserve"> 470 </t>
  </si>
  <si>
    <t xml:space="preserve"> RT1206FRE07220RL</t>
  </si>
  <si>
    <t xml:space="preserve"> 220 </t>
  </si>
  <si>
    <t xml:space="preserve"> RT1206FRE0733RL </t>
  </si>
  <si>
    <t xml:space="preserve"> 33</t>
  </si>
  <si>
    <t>IRC/TT</t>
  </si>
  <si>
    <t xml:space="preserve"> L091S103LF</t>
  </si>
  <si>
    <t xml:space="preserve"> L091S472LF</t>
  </si>
  <si>
    <t xml:space="preserve"> L091S102LF</t>
  </si>
  <si>
    <t xml:space="preserve">Comchip </t>
  </si>
  <si>
    <t xml:space="preserve"> CGRKM4001-HF</t>
  </si>
  <si>
    <t xml:space="preserve"> 1A50V </t>
  </si>
  <si>
    <t>Taiwan Semiconductor</t>
  </si>
  <si>
    <t xml:space="preserve"> 1N914BW RHG </t>
  </si>
  <si>
    <t xml:space="preserve"> 1N914 </t>
  </si>
  <si>
    <t xml:space="preserve">TDK </t>
  </si>
  <si>
    <t xml:space="preserve"> B57621C5103J62</t>
  </si>
  <si>
    <t xml:space="preserve"> ntc10k</t>
  </si>
  <si>
    <t>Wurth Elektronik</t>
  </si>
  <si>
    <t xml:space="preserve"> 61300211121 </t>
  </si>
  <si>
    <t xml:space="preserve"> 01x02 </t>
  </si>
  <si>
    <t xml:space="preserve"> 61300311121 </t>
  </si>
  <si>
    <t xml:space="preserve"> 01x03 </t>
  </si>
  <si>
    <t xml:space="preserve"> 61300411121 </t>
  </si>
  <si>
    <t xml:space="preserve"> 01x04 </t>
  </si>
  <si>
    <t xml:space="preserve"> 61300821121 </t>
  </si>
  <si>
    <t xml:space="preserve"> 02x04 </t>
  </si>
  <si>
    <t xml:space="preserve"> 61301021121 </t>
  </si>
  <si>
    <t xml:space="preserve"> 02x05 </t>
  </si>
  <si>
    <t xml:space="preserve"> 61201021621 </t>
  </si>
  <si>
    <t xml:space="preserve"> jtag</t>
  </si>
  <si>
    <t xml:space="preserve">TE Connectivity </t>
  </si>
  <si>
    <t xml:space="preserve"> 1-1775099-3 </t>
  </si>
  <si>
    <t xml:space="preserve"> atx </t>
  </si>
  <si>
    <t xml:space="preserve"> 5822030-3 </t>
  </si>
  <si>
    <t xml:space="preserve"> simm</t>
  </si>
  <si>
    <t xml:space="preserve"> 5176139-2 </t>
  </si>
  <si>
    <t xml:space="preserve"> isa </t>
  </si>
  <si>
    <t xml:space="preserve">Molex </t>
  </si>
  <si>
    <t xml:space="preserve"> 87831-4420</t>
  </si>
  <si>
    <t xml:space="preserve"> ide44 </t>
  </si>
  <si>
    <t xml:space="preserve"> 171856-1003 </t>
  </si>
  <si>
    <t xml:space="preserve"> fan </t>
  </si>
  <si>
    <t>Harwin</t>
  </si>
  <si>
    <t xml:space="preserve"> S8401-46</t>
  </si>
  <si>
    <t xml:space="preserve"> bat </t>
  </si>
  <si>
    <t>Amphenol</t>
  </si>
  <si>
    <t xml:space="preserve"> L17H26R0121 </t>
  </si>
  <si>
    <t xml:space="preserve"> db25/9/9</t>
  </si>
  <si>
    <t xml:space="preserve">Kycon </t>
  </si>
  <si>
    <t xml:space="preserve"> STX-4235-3/3-N</t>
  </si>
  <si>
    <t xml:space="preserve"> trsx2 </t>
  </si>
  <si>
    <t xml:space="preserve"> K42X-E9P/P-A4NJ </t>
  </si>
  <si>
    <t xml:space="preserve"> db9/9 </t>
  </si>
  <si>
    <t xml:space="preserve"> KMDGX-6SG/P-S4N </t>
  </si>
  <si>
    <t xml:space="preserve"> ps2x2 </t>
  </si>
  <si>
    <t xml:space="preserve"> 1-2199298-8 </t>
  </si>
  <si>
    <t xml:space="preserve"> dip24 </t>
  </si>
  <si>
    <t xml:space="preserve"> 1-2199298-9 </t>
  </si>
  <si>
    <t xml:space="preserve"> dip28 </t>
  </si>
  <si>
    <t>3M</t>
  </si>
  <si>
    <t xml:space="preserve"> 4840-6000-CP</t>
  </si>
  <si>
    <t xml:space="preserve"> dip40 </t>
  </si>
  <si>
    <t xml:space="preserve"> 4848-6000-CP</t>
  </si>
  <si>
    <t xml:space="preserve"> dip48 </t>
  </si>
  <si>
    <t xml:space="preserve">Preci-dip </t>
  </si>
  <si>
    <t xml:space="preserve"> 540-88-068-24-008 </t>
  </si>
  <si>
    <t xml:space="preserve"> plcc68</t>
  </si>
  <si>
    <t xml:space="preserve"> 540-88-084-24-008 </t>
  </si>
  <si>
    <t xml:space="preserve"> plcc84</t>
  </si>
  <si>
    <t xml:space="preserve">Aries Electronics </t>
  </si>
  <si>
    <t xml:space="preserve"> 1108800 </t>
  </si>
  <si>
    <t xml:space="preserve"> osc8</t>
  </si>
  <si>
    <t xml:space="preserve"> 1-881545-4</t>
  </si>
  <si>
    <t xml:space="preserve"> jumper</t>
  </si>
  <si>
    <t xml:space="preserve">Alps Alpine </t>
  </si>
  <si>
    <t xml:space="preserve"> SKHHARA010</t>
  </si>
  <si>
    <t xml:space="preserve"> button</t>
  </si>
  <si>
    <t xml:space="preserve">Texas Instruments </t>
  </si>
  <si>
    <t xml:space="preserve"> SN74LS07DR</t>
  </si>
  <si>
    <t xml:space="preserve"> 74ls07</t>
  </si>
  <si>
    <t xml:space="preserve"> SN74LS148DR </t>
  </si>
  <si>
    <t xml:space="preserve"> 74ls148 </t>
  </si>
  <si>
    <t xml:space="preserve"> CD74HCT10M96G4</t>
  </si>
  <si>
    <t xml:space="preserve"> 74hct10 </t>
  </si>
  <si>
    <t>Nexperia</t>
  </si>
  <si>
    <t xml:space="preserve"> 74AHC157D,118 </t>
  </si>
  <si>
    <t xml:space="preserve"> 74ahc157</t>
  </si>
  <si>
    <t xml:space="preserve"> 74LVCH16245ADGG,11</t>
  </si>
  <si>
    <t xml:space="preserve"> 74lvch16245 </t>
  </si>
  <si>
    <t xml:space="preserve">Microchip </t>
  </si>
  <si>
    <t xml:space="preserve"> ATF1508AS-7JX84 </t>
  </si>
  <si>
    <t xml:space="preserve"> atf1508 </t>
  </si>
  <si>
    <t xml:space="preserve"> ATF22V10C-10PU</t>
  </si>
  <si>
    <t xml:space="preserve"> atf22v10</t>
  </si>
  <si>
    <t xml:space="preserve"> PIC16F876A-I/SP </t>
  </si>
  <si>
    <t xml:space="preserve"> pic16 </t>
  </si>
  <si>
    <t>Analog Devices</t>
  </si>
  <si>
    <t xml:space="preserve"> MAX3245CAI+T</t>
  </si>
  <si>
    <t xml:space="preserve"> max3245 </t>
  </si>
  <si>
    <t xml:space="preserve"> MAX16054AZT+T </t>
  </si>
  <si>
    <t xml:space="preserve"> max16054</t>
  </si>
  <si>
    <t xml:space="preserve"> DS1818-10+T&amp;R </t>
  </si>
  <si>
    <t xml:space="preserve"> ds1818</t>
  </si>
  <si>
    <t xml:space="preserve"> DS1307Z+T&amp;R </t>
  </si>
  <si>
    <t xml:space="preserve"> ds1307</t>
  </si>
  <si>
    <t xml:space="preserve"> TXU0202DCUR </t>
  </si>
  <si>
    <t xml:space="preserve"> txu0202 </t>
  </si>
  <si>
    <t xml:space="preserve"> LM7905CT/NOPB </t>
  </si>
  <si>
    <t xml:space="preserve"> lm7905</t>
  </si>
  <si>
    <t xml:space="preserve">Infineon Technologies </t>
  </si>
  <si>
    <t xml:space="preserve"> CY2308SXC-2 </t>
  </si>
  <si>
    <t xml:space="preserve"> cy2308</t>
  </si>
  <si>
    <t xml:space="preserve">MaxLinear </t>
  </si>
  <si>
    <t xml:space="preserve"> XR68M752IM48-F</t>
  </si>
  <si>
    <t xml:space="preserve"> xr68m752</t>
  </si>
  <si>
    <t>Vishay</t>
  </si>
  <si>
    <t xml:space="preserve"> CNY17F-3</t>
  </si>
  <si>
    <t xml:space="preserve"> cny17f-3</t>
  </si>
  <si>
    <t xml:space="preserve"> IRF510PBF </t>
  </si>
  <si>
    <t xml:space="preserve"> irf510</t>
  </si>
  <si>
    <t xml:space="preserve">Abracon </t>
  </si>
  <si>
    <t xml:space="preserve"> ACHL-48.000MHZ-EK </t>
  </si>
  <si>
    <t xml:space="preserve"> 48m </t>
  </si>
  <si>
    <t xml:space="preserve"> ASV-24.000MHZ-EJ-T</t>
  </si>
  <si>
    <t xml:space="preserve"> 24m </t>
  </si>
  <si>
    <t xml:space="preserve"> ACH-8.000MHZ-EK </t>
  </si>
  <si>
    <t xml:space="preserve"> 8m</t>
  </si>
  <si>
    <t xml:space="preserve"> ACH-14.31818MHZ-EK</t>
  </si>
  <si>
    <t xml:space="preserve"> 14.31818m </t>
  </si>
  <si>
    <t xml:space="preserve">CTS </t>
  </si>
  <si>
    <t xml:space="preserve"> MP024S</t>
  </si>
  <si>
    <t xml:space="preserve"> 2.4576m </t>
  </si>
  <si>
    <t xml:space="preserve">ECS </t>
  </si>
  <si>
    <t xml:space="preserve"> ECS-.327-12.5-13X-C </t>
  </si>
  <si>
    <t xml:space="preserve"> 32.768k </t>
  </si>
  <si>
    <t>Yamaha</t>
  </si>
  <si>
    <t xml:space="preserve"> YM2149F </t>
  </si>
  <si>
    <t xml:space="preserve"> YM2149</t>
  </si>
  <si>
    <t>Motorola</t>
  </si>
  <si>
    <t xml:space="preserve"> MC68150FN40 </t>
  </si>
  <si>
    <t xml:space="preserve"> MC68150 </t>
  </si>
  <si>
    <t xml:space="preserve"> MC68060RC50 </t>
  </si>
  <si>
    <t xml:space="preserve"> MC68060 </t>
  </si>
  <si>
    <t xml:space="preserve"> MC68901P</t>
  </si>
  <si>
    <t xml:space="preserve"> MC68901 </t>
  </si>
  <si>
    <t>Archi-Tech</t>
  </si>
  <si>
    <t xml:space="preserve"> 1870-5222B</t>
  </si>
  <si>
    <t xml:space="preserve"> pga206</t>
  </si>
  <si>
    <t>Mouser</t>
  </si>
  <si>
    <t>LCSC</t>
  </si>
  <si>
    <t xml:space="preserve"> Qty </t>
  </si>
  <si>
    <t xml:space="preserve"> Ref </t>
  </si>
  <si>
    <t xml:space="preserve">WCH </t>
  </si>
  <si>
    <t xml:space="preserve"> CH559L</t>
  </si>
  <si>
    <t xml:space="preserve"> U101</t>
  </si>
  <si>
    <t xml:space="preserve"> 10K </t>
  </si>
  <si>
    <t xml:space="preserve"> R103,R105,R106</t>
  </si>
  <si>
    <t xml:space="preserve"> 1K</t>
  </si>
  <si>
    <t xml:space="preserve"> R101,R102,R104,R107 </t>
  </si>
  <si>
    <t xml:space="preserve"> C103,C104 </t>
  </si>
  <si>
    <t xml:space="preserve"> C102,C105 </t>
  </si>
  <si>
    <t xml:space="preserve"> C1206C334K5RACTU</t>
  </si>
  <si>
    <t xml:space="preserve"> 0.33u </t>
  </si>
  <si>
    <t xml:space="preserve"> C101</t>
  </si>
  <si>
    <t xml:space="preserve">? </t>
  </si>
  <si>
    <t xml:space="preserve"> pinheader round </t>
  </si>
  <si>
    <t xml:space="preserve"> 1x14</t>
  </si>
  <si>
    <t xml:space="preserve"> J101,J102 </t>
  </si>
  <si>
    <t xml:space="preserve"> pinheader square</t>
  </si>
  <si>
    <t xml:space="preserve"> 2x5 </t>
  </si>
  <si>
    <t xml:space="preserve"> J103</t>
  </si>
  <si>
    <t xml:space="preserve"> 1x4 </t>
  </si>
  <si>
    <t xml:space="preserve"> J104</t>
  </si>
  <si>
    <t xml:space="preserve"> Ref</t>
  </si>
  <si>
    <t>Samtec</t>
  </si>
  <si>
    <t xml:space="preserve"> J102 </t>
  </si>
  <si>
    <t xml:space="preserve"> Female right-angle </t>
  </si>
  <si>
    <t xml:space="preserve"> J101 </t>
  </si>
  <si>
    <t>Molex</t>
  </si>
  <si>
    <t xml:space="preserve"> 87833-4420</t>
  </si>
  <si>
    <t xml:space="preserve"> shrouded male right-angle </t>
  </si>
  <si>
    <t>Note</t>
  </si>
  <si>
    <t>Qty</t>
  </si>
  <si>
    <t xml:space="preserve"> K104K10X7RF53H5 </t>
  </si>
  <si>
    <t xml:space="preserve"> C101, C102, C103</t>
  </si>
  <si>
    <t xml:space="preserve"> SN74HC273N</t>
  </si>
  <si>
    <t xml:space="preserve"> 74HC273 </t>
  </si>
  <si>
    <t xml:space="preserve"> U101, U103, U104</t>
  </si>
  <si>
    <t>Bourns</t>
  </si>
  <si>
    <t xml:space="preserve"> 4609X-101-102LF </t>
  </si>
  <si>
    <t xml:space="preserve"> 8x1K</t>
  </si>
  <si>
    <t xml:space="preserve"> RN101 </t>
  </si>
  <si>
    <t xml:space="preserve"> SW101 </t>
  </si>
  <si>
    <t xml:space="preserve"> J101</t>
  </si>
  <si>
    <t>Raspberry Pi</t>
  </si>
  <si>
    <t xml:space="preserve"> SC0915</t>
  </si>
  <si>
    <t xml:space="preserve"> Pi Pico </t>
  </si>
  <si>
    <t xml:space="preserve"> U102</t>
  </si>
  <si>
    <t xml:space="preserve">Alliance Memory </t>
  </si>
  <si>
    <t xml:space="preserve"> AS6C6416-55TIN</t>
  </si>
  <si>
    <t xml:space="preserve"> 16x4MBit</t>
  </si>
  <si>
    <t xml:space="preserve"> IC1, IC2</t>
  </si>
  <si>
    <t xml:space="preserve"> C1, C2</t>
  </si>
  <si>
    <t xml:space="preserve"> SST39LF040-55-4C-NHE-T</t>
  </si>
  <si>
    <t xml:space="preserve"> 4Mbit </t>
  </si>
  <si>
    <t xml:space="preserve"> U1, U2, U3, U4</t>
  </si>
  <si>
    <t xml:space="preserve"> 8432-11B1-RK-TP </t>
  </si>
  <si>
    <t xml:space="preserve"> PLCC socket </t>
  </si>
  <si>
    <t xml:space="preserve"> C1, C2, C3, C4</t>
  </si>
  <si>
    <t>Ref</t>
  </si>
  <si>
    <t>Value</t>
  </si>
  <si>
    <t>JLCPCB</t>
  </si>
  <si>
    <t>PCB</t>
  </si>
  <si>
    <t xml:space="preserve"> MC68150FN33</t>
  </si>
  <si>
    <t>C106236</t>
  </si>
  <si>
    <t>C82601</t>
  </si>
  <si>
    <t>C527328</t>
  </si>
  <si>
    <t>C541508</t>
  </si>
  <si>
    <t>C294118</t>
  </si>
  <si>
    <t>C872804</t>
  </si>
  <si>
    <t>C723635</t>
  </si>
  <si>
    <t>C294117</t>
  </si>
  <si>
    <t>C870551</t>
  </si>
  <si>
    <t>C872709</t>
  </si>
  <si>
    <t>C371970</t>
  </si>
  <si>
    <t>C2674594</t>
  </si>
  <si>
    <t>C7036</t>
  </si>
  <si>
    <t>C79401</t>
  </si>
  <si>
    <t>C5186957</t>
  </si>
  <si>
    <t>C2953297</t>
  </si>
  <si>
    <t>auf Mainboard</t>
  </si>
  <si>
    <t>C2944152</t>
  </si>
  <si>
    <t>727-CY2308SXC-2</t>
  </si>
  <si>
    <t>595-TXU0202DCUR</t>
  </si>
  <si>
    <t>700-DS1307ZT&amp;R</t>
  </si>
  <si>
    <t>700-MAX16054AZTT</t>
  </si>
  <si>
    <t>771-AHC157D118</t>
  </si>
  <si>
    <t>595-CD74HCT10M96G4</t>
  </si>
  <si>
    <t>595-SN74LS148DR</t>
  </si>
  <si>
    <t>595-SN74LS07DR</t>
  </si>
  <si>
    <t>871-B57621C5103J62</t>
  </si>
  <si>
    <t>750-CGRKM4001-HF</t>
  </si>
  <si>
    <t>603-RT1206FRE0733RL</t>
  </si>
  <si>
    <t>603-RT1206FRE07220RL</t>
  </si>
  <si>
    <t>603-RT1206FRE07470RL</t>
  </si>
  <si>
    <t>603-RT1206FRE071KL</t>
  </si>
  <si>
    <t>603-RT1206FRE072K2L</t>
  </si>
  <si>
    <t>603-RT1206FRE074K7L</t>
  </si>
  <si>
    <t>603-RT1206FRE0710KL</t>
  </si>
  <si>
    <t>80-C1206C330J1G</t>
  </si>
  <si>
    <t>80-C1206C103K2R</t>
  </si>
  <si>
    <t>80-C1206C104K5R</t>
  </si>
  <si>
    <t>80-C1206C105K4R</t>
  </si>
  <si>
    <t>771-74LVCH16245ADG11</t>
  </si>
  <si>
    <t>520-S-.32712.513XC</t>
  </si>
  <si>
    <t>774-MP024S</t>
  </si>
  <si>
    <t>815-ACH-14.31818EK</t>
  </si>
  <si>
    <t>815-ACH-8-EK</t>
  </si>
  <si>
    <t>815-ASV-24-EJ-T</t>
  </si>
  <si>
    <t>815-ACHL-48-EK</t>
  </si>
  <si>
    <t>844-IRF510PBF</t>
  </si>
  <si>
    <t>782-CNY17F-3</t>
  </si>
  <si>
    <t>701-XR68M752IM48-F</t>
  </si>
  <si>
    <t>926-LM7905CT/NOPB</t>
  </si>
  <si>
    <t>700-DS1818-10T&amp;R</t>
  </si>
  <si>
    <t>700-MAX3245CAIT</t>
  </si>
  <si>
    <t>579-PIC16F876A-I/SP</t>
  </si>
  <si>
    <t>556-ATF22V10C-10PU</t>
  </si>
  <si>
    <t>556-ATF1508AS-7JX84</t>
  </si>
  <si>
    <t>688-SKHHAR</t>
  </si>
  <si>
    <t>571-1-881545-4</t>
  </si>
  <si>
    <t>535-1108800</t>
  </si>
  <si>
    <t>437-5408808424008</t>
  </si>
  <si>
    <t>437-5408806824008</t>
  </si>
  <si>
    <t>517-4848-6000-CP</t>
  </si>
  <si>
    <t>517-4840-6000-CP</t>
  </si>
  <si>
    <t>571-1-2199298-9</t>
  </si>
  <si>
    <t>571-1-2199298-8</t>
  </si>
  <si>
    <t>806-KMDGX-6SGP-S4N</t>
  </si>
  <si>
    <t>806-K42X-E9P/P-A4NJ</t>
  </si>
  <si>
    <t>806-STX-4235-3/3-N</t>
  </si>
  <si>
    <t>523-L17H26R0121</t>
  </si>
  <si>
    <t>855-S8401-46</t>
  </si>
  <si>
    <t>538-171856-1003</t>
  </si>
  <si>
    <t>538-87831-4420</t>
  </si>
  <si>
    <t>571-5176139-2</t>
  </si>
  <si>
    <t>571-5822030-3</t>
  </si>
  <si>
    <t>571-1-1775099-3</t>
  </si>
  <si>
    <t>710-61201021621</t>
  </si>
  <si>
    <t>710-61301021121</t>
  </si>
  <si>
    <t>710-61300821121</t>
  </si>
  <si>
    <t>710-61300411121</t>
  </si>
  <si>
    <t>710-61300311121</t>
  </si>
  <si>
    <t>710-61300211121</t>
  </si>
  <si>
    <t>821-1N914BWRHG</t>
  </si>
  <si>
    <t>858-L091S472LF</t>
  </si>
  <si>
    <t>858-L091S103LF</t>
  </si>
  <si>
    <t>667-EEU-EB1H4R7SH</t>
  </si>
  <si>
    <t>667-EEU-EB1H100SH</t>
  </si>
  <si>
    <t>517-8432-11B1-RK-TP</t>
  </si>
  <si>
    <t>579-SST39LF040554CN</t>
  </si>
  <si>
    <t>913-AS6C6416-55TIN</t>
  </si>
  <si>
    <t>358-SC0915</t>
  </si>
  <si>
    <t>652-4609X-1LF-1K</t>
  </si>
  <si>
    <t>595-SN74HC273N</t>
  </si>
  <si>
    <t>594-K104K10X7RF53H5</t>
  </si>
  <si>
    <t>200-SQT12201LDRA</t>
  </si>
  <si>
    <t xml:space="preserve"> SQT-122-01-F-D-RA </t>
  </si>
  <si>
    <t>538-87833-4420</t>
  </si>
  <si>
    <t>80-C1206C334K5R</t>
  </si>
  <si>
    <t>80-C1206C105K4RAC</t>
  </si>
  <si>
    <t>603-RT1206FRE131KL</t>
  </si>
  <si>
    <t>279-SIL09E102J</t>
  </si>
  <si>
    <t>C4502</t>
  </si>
  <si>
    <t>eBay</t>
  </si>
  <si>
    <t>alt. Source</t>
  </si>
  <si>
    <t>Alt. Total Price</t>
  </si>
  <si>
    <t>Mouser 
Unit Price</t>
  </si>
  <si>
    <t>Mouser 
Total Price</t>
  </si>
  <si>
    <t>MwSt</t>
  </si>
  <si>
    <t>603-RT1206FRE1310KL</t>
  </si>
  <si>
    <t>Grand Total</t>
  </si>
  <si>
    <t>alt. 
Price</t>
  </si>
  <si>
    <t>Alt. 
Total Price</t>
  </si>
  <si>
    <t>Mouser
Unti Price</t>
  </si>
  <si>
    <t>Mouser
Total Price</t>
  </si>
  <si>
    <t>Mainboard</t>
  </si>
  <si>
    <t>ROM-PLCC</t>
  </si>
  <si>
    <t>SIMM16M</t>
  </si>
  <si>
    <t>Programmer</t>
  </si>
  <si>
    <t>IDESWAP</t>
  </si>
  <si>
    <t>CKBD</t>
  </si>
  <si>
    <t>Raven060</t>
  </si>
  <si>
    <t>Board+Bauteile</t>
  </si>
  <si>
    <t>C502, C503, C504, C505, C506, C507, C508, C509, C510, C511, C512, C513</t>
  </si>
  <si>
    <t>C601, C602, C603, C604</t>
  </si>
  <si>
    <t>C119, C120, C127, C128</t>
  </si>
  <si>
    <t>C101, C102, C103, C104, C105, C106, C107, C108, C109, C110, C111, C112, C113, C114, C115, C116, C117, C118, C121, C122, C123, C124, C125, C126, C201, C202, C203, C204, C205, C301, C302, C303, C304, C305, C306, C307, C308, C309, C403, C404, C405, C406, C407, C408, C409, C410, C411, C412, C413, C501, C514, C605</t>
  </si>
  <si>
    <t>C310</t>
  </si>
  <si>
    <t>C401, C402</t>
  </si>
  <si>
    <t>R101, R102, R103, R104, R105, R106, R108, R112, R117, R121, R122, R204, R205, R206, R207, R208, R311, R407</t>
  </si>
  <si>
    <t>R109, R110, R111, R601, R602, R603, R604, R608</t>
  </si>
  <si>
    <t>R403, R404, R406</t>
  </si>
  <si>
    <t>R116, R118, R119, R120, R203, R401, R402, R405, R605, R606, R607</t>
  </si>
  <si>
    <t>R201, R202, R301, R302, R303, R304, R305, R306, R307, R308, R309, R310</t>
  </si>
  <si>
    <t>R609, R610, R611</t>
  </si>
  <si>
    <t>R107, R113, R114, R115</t>
  </si>
  <si>
    <t>RN301, RN302</t>
  </si>
  <si>
    <t>RN501, RN502</t>
  </si>
  <si>
    <t>RN101, RN102, RN103, RN104, RN105, RN106, RN107, RN108, RN109, RN110, RN303, RN503, RN504</t>
  </si>
  <si>
    <t>D201, D202, D203</t>
  </si>
  <si>
    <t>D601</t>
  </si>
  <si>
    <t>TH301</t>
  </si>
  <si>
    <t>J101, J106</t>
  </si>
  <si>
    <t>J102, J104, J105, J203</t>
  </si>
  <si>
    <t>J602, J603, J604</t>
  </si>
  <si>
    <t>J402</t>
  </si>
  <si>
    <t>J202</t>
  </si>
  <si>
    <t>J103</t>
  </si>
  <si>
    <t>J201</t>
  </si>
  <si>
    <t>J301, J302, J303, J304</t>
  </si>
  <si>
    <t>J501, J502, J503, J504</t>
  </si>
  <si>
    <t>J401</t>
  </si>
  <si>
    <t>J204, J205, J206, J305</t>
  </si>
  <si>
    <t>J403</t>
  </si>
  <si>
    <t>J605</t>
  </si>
  <si>
    <t>J601</t>
  </si>
  <si>
    <t>J606</t>
  </si>
  <si>
    <t>J607</t>
  </si>
  <si>
    <t>U101</t>
  </si>
  <si>
    <t>U102</t>
  </si>
  <si>
    <t>U202</t>
  </si>
  <si>
    <t>U103, U106</t>
  </si>
  <si>
    <t>U104</t>
  </si>
  <si>
    <t>U204</t>
  </si>
  <si>
    <t>U105</t>
  </si>
  <si>
    <t>U107</t>
  </si>
  <si>
    <t>U108</t>
  </si>
  <si>
    <t>U201</t>
  </si>
  <si>
    <t>U203</t>
  </si>
  <si>
    <t>U301</t>
  </si>
  <si>
    <t>U302</t>
  </si>
  <si>
    <t>U303</t>
  </si>
  <si>
    <t>U304</t>
  </si>
  <si>
    <t>U305, U404</t>
  </si>
  <si>
    <t>U401, U403</t>
  </si>
  <si>
    <t>U402, U501</t>
  </si>
  <si>
    <t>U405</t>
  </si>
  <si>
    <t>U406</t>
  </si>
  <si>
    <t>U601</t>
  </si>
  <si>
    <t>U602</t>
  </si>
  <si>
    <t>X101</t>
  </si>
  <si>
    <t>X301</t>
  </si>
  <si>
    <t>X401</t>
  </si>
  <si>
    <t>X501</t>
  </si>
  <si>
    <t>Y401</t>
  </si>
  <si>
    <t>Y402</t>
  </si>
  <si>
    <t>SW101, SW201, SW202</t>
  </si>
  <si>
    <t>25m</t>
  </si>
  <si>
    <t>Alternative für 50MHz Clock</t>
  </si>
  <si>
    <t>815-ACHL-25-EK</t>
  </si>
  <si>
    <t>815-ACHL-32-EK</t>
  </si>
  <si>
    <t>32m</t>
  </si>
  <si>
    <t>40m</t>
  </si>
  <si>
    <t>Alternative für 80MHz Clock</t>
  </si>
  <si>
    <t>815-ACHL-40-EK</t>
  </si>
  <si>
    <t>Mouser Partnumber</t>
  </si>
  <si>
    <t>Mainboard JLCPCB</t>
  </si>
  <si>
    <t>Versand</t>
  </si>
  <si>
    <t>5 (2 bestückt)</t>
  </si>
  <si>
    <t>5 (3 bestückt)</t>
  </si>
  <si>
    <t>5 (4 bestückt)</t>
  </si>
  <si>
    <t>5 (5 bestückt)</t>
  </si>
  <si>
    <t>Gesamt</t>
  </si>
  <si>
    <t>Platinen (5 Stk)</t>
  </si>
  <si>
    <t>SMD-Bestückung</t>
  </si>
  <si>
    <t>pro bestückte Platine</t>
  </si>
  <si>
    <t>Reichelt SIL 9-8 10K</t>
  </si>
  <si>
    <t>Reichelt SIL 9-8 4,7K</t>
  </si>
  <si>
    <t>Reichelt SIL 9-8 1,0K</t>
  </si>
  <si>
    <t>Reichelt W+P 635-44-1</t>
  </si>
  <si>
    <t>Reichelt MOLEX 22232031</t>
  </si>
  <si>
    <t>Reichelt GS 24-S</t>
  </si>
  <si>
    <t>Reichelt GS 28-S</t>
  </si>
  <si>
    <t>Reichelt GS 40</t>
  </si>
  <si>
    <t>Reichelt PLCC 68</t>
  </si>
  <si>
    <t>Reichelt PLCC 84</t>
  </si>
  <si>
    <t>Reichelt JUMPER 2,54GL SW</t>
  </si>
  <si>
    <t>Reichelt DS 1307Z</t>
  </si>
  <si>
    <t>Reichelt µA 7905</t>
  </si>
  <si>
    <t>Reichelt CNY 17F-3 VIS</t>
  </si>
  <si>
    <t>01x40</t>
  </si>
  <si>
    <t>Reichelt BKL 10120513</t>
  </si>
  <si>
    <t>Reichelt ECON SL8G2E</t>
  </si>
  <si>
    <t>Reichelt ECON SL10G2</t>
  </si>
  <si>
    <t>Reichelt WSL 10G</t>
  </si>
  <si>
    <t>Reichelt 74HC 273</t>
  </si>
  <si>
    <t>Reichelt W+P 635-44-2</t>
  </si>
  <si>
    <t>Versand Reichelt</t>
  </si>
  <si>
    <t>halbvier</t>
  </si>
  <si>
    <t>Reichelt AW 122/20</t>
  </si>
  <si>
    <t>Reichelt BKL 10120742</t>
  </si>
  <si>
    <t>Reichelt ECON SL4G1</t>
  </si>
  <si>
    <t>Mouser Brutto</t>
  </si>
  <si>
    <t>U401</t>
  </si>
  <si>
    <t>U403</t>
  </si>
  <si>
    <t>C2442288</t>
  </si>
  <si>
    <t>C2863188</t>
  </si>
  <si>
    <t>C3152964</t>
  </si>
  <si>
    <t>C2672122</t>
  </si>
  <si>
    <t xml:space="preserve">LCSC </t>
  </si>
  <si>
    <t>LCSC Partnumber</t>
  </si>
  <si>
    <t>auf Mainboard, extra purchase</t>
  </si>
  <si>
    <t>für 96MHz CPU Clock</t>
  </si>
  <si>
    <t>Alternative für 64MHz Clock</t>
  </si>
  <si>
    <t>Alternativ zum FN40,  max. 66MHz CPU clock</t>
  </si>
  <si>
    <t>halbvier aus dem a1k</t>
  </si>
  <si>
    <t>evtl. Amibay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</si>
</sst>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0\ &quot;€&quot;"/>
    <numFmt numFmtId="166" formatCode="#,##0.00\ _€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1"/>
    <xf numFmtId="164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  <xf numFmtId="165" fontId="0" fillId="0" borderId="0" xfId="0" applyNumberFormat="1" applyAlignment="1">
      <alignment wrapText="1"/>
    </xf>
    <xf numFmtId="0" fontId="3" fillId="0" borderId="0" xfId="0" applyFont="1"/>
    <xf numFmtId="164" fontId="2" fillId="0" borderId="0" xfId="0" applyNumberFormat="1" applyFont="1"/>
    <xf numFmtId="164" fontId="4" fillId="0" borderId="0" xfId="0" applyNumberFormat="1" applyFont="1"/>
    <xf numFmtId="0" fontId="1" fillId="0" borderId="0" xfId="1" applyNumberFormat="1"/>
    <xf numFmtId="0" fontId="2" fillId="0" borderId="0" xfId="0" applyFont="1"/>
    <xf numFmtId="166" fontId="0" fillId="0" borderId="0" xfId="0" applyNumberFormat="1"/>
    <xf numFmtId="166" fontId="4" fillId="0" borderId="0" xfId="0" applyNumberFormat="1" applyFont="1"/>
    <xf numFmtId="166" fontId="3" fillId="0" borderId="0" xfId="0" applyNumberFormat="1" applyFont="1"/>
    <xf numFmtId="0" fontId="0" fillId="0" borderId="0" xfId="0" applyAlignment="1">
      <alignment vertical="top" wrapText="1"/>
    </xf>
    <xf numFmtId="165" fontId="0" fillId="0" borderId="0" xfId="0" applyNumberFormat="1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applyAlignment="1">
      <alignment vertical="top"/>
    </xf>
    <xf numFmtId="0" fontId="1" fillId="0" borderId="0" xfId="1" applyAlignment="1">
      <alignment vertical="top"/>
    </xf>
    <xf numFmtId="165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1" fillId="0" borderId="0" xfId="1" applyAlignment="1">
      <alignment vertical="top" wrapText="1"/>
    </xf>
    <xf numFmtId="0" fontId="1" fillId="0" borderId="0" xfId="1" applyFill="1" applyAlignment="1">
      <alignment vertical="top"/>
    </xf>
    <xf numFmtId="164" fontId="0" fillId="2" borderId="0" xfId="0" applyNumberFormat="1" applyFill="1" applyAlignment="1">
      <alignment vertical="top"/>
    </xf>
    <xf numFmtId="164" fontId="4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0" fontId="1" fillId="0" borderId="0" xfId="1" applyNumberFormat="1" applyAlignment="1">
      <alignment vertical="top"/>
    </xf>
    <xf numFmtId="164" fontId="2" fillId="2" borderId="0" xfId="0" applyNumberFormat="1" applyFont="1" applyFill="1" applyAlignment="1">
      <alignment vertical="top"/>
    </xf>
    <xf numFmtId="0" fontId="2" fillId="0" borderId="0" xfId="0" applyFont="1" applyAlignment="1">
      <alignment vertical="top" wrapText="1"/>
    </xf>
    <xf numFmtId="0" fontId="2" fillId="2" borderId="0" xfId="0" applyFont="1" applyFill="1" applyAlignment="1">
      <alignment vertical="top"/>
    </xf>
    <xf numFmtId="164" fontId="0" fillId="0" borderId="0" xfId="0" applyNumberFormat="1" applyAlignment="1">
      <alignment wrapText="1"/>
    </xf>
    <xf numFmtId="165" fontId="2" fillId="0" borderId="0" xfId="0" applyNumberFormat="1" applyFont="1" applyAlignment="1">
      <alignment vertical="top"/>
    </xf>
    <xf numFmtId="0" fontId="1" fillId="0" borderId="0" xfId="1" applyFill="1"/>
    <xf numFmtId="164" fontId="0" fillId="3" borderId="0" xfId="0" applyNumberFormat="1" applyFill="1" applyAlignment="1">
      <alignment vertical="top"/>
    </xf>
  </cellXfs>
  <cellStyles count="2">
    <cellStyle name="Link" xfId="1" builtinId="8"/>
    <cellStyle name="Standard" xfId="0" builtinId="0"/>
  </cellStyles>
  <dxfs count="125"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general" vertical="top" textRotation="0" wrapText="0" indent="0" justifyLastLine="0" shrinkToFit="0" readingOrder="0"/>
    </dxf>
    <dxf>
      <numFmt numFmtId="164" formatCode="#,##0.00\ &quot;€&quot;"/>
      <alignment horizontal="general" vertical="top" textRotation="0" wrapText="0" indent="0" justifyLastLine="0" shrinkToFit="0" readingOrder="0"/>
    </dxf>
    <dxf>
      <numFmt numFmtId="164" formatCode="#,##0.00\ &quot;€&quot;"/>
      <alignment horizontal="general" vertical="top" textRotation="0" wrapText="0" indent="0" justifyLastLine="0" shrinkToFit="0" readingOrder="0"/>
    </dxf>
    <dxf>
      <numFmt numFmtId="164" formatCode="#,##0.00\ &quot;€&quot;"/>
      <alignment horizontal="general" vertical="top" textRotation="0" wrapText="0" indent="0" justifyLastLine="0" shrinkToFit="0" readingOrder="0"/>
    </dxf>
    <dxf>
      <numFmt numFmtId="164" formatCode="#,##0.00\ &quot;€&quot;"/>
      <alignment horizontal="general" vertical="top" textRotation="0" wrapText="0" indent="0" justifyLastLine="0" shrinkToFit="0" readingOrder="0"/>
    </dxf>
    <dxf>
      <numFmt numFmtId="165" formatCode="#,##0.000\ &quot;€&quot;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5" formatCode="#,##0.000\ &quot;€&quot;"/>
    </dxf>
    <dxf>
      <numFmt numFmtId="165" formatCode="#,##0.000\ &quot;€&quot;"/>
    </dxf>
    <dxf>
      <numFmt numFmtId="165" formatCode="#,##0.0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5" formatCode="#,##0.000\ &quot;€&quot;"/>
    </dxf>
    <dxf>
      <numFmt numFmtId="165" formatCode="#,##0.000\ &quot;€&quot;"/>
    </dxf>
    <dxf>
      <numFmt numFmtId="165" formatCode="#,##0.0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5" formatCode="#,##0.000\ &quot;€&quot;"/>
    </dxf>
    <dxf>
      <numFmt numFmtId="165" formatCode="#,##0.000\ &quot;€&quot;"/>
    </dxf>
    <dxf>
      <numFmt numFmtId="165" formatCode="#,##0.0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numFmt numFmtId="164" formatCode="#,##0.00\ &quot;€&quot;"/>
    </dxf>
    <dxf>
      <numFmt numFmtId="165" formatCode="#,##0.000\ &quot;€&quot;"/>
    </dxf>
    <dxf>
      <numFmt numFmtId="164" formatCode="#,##0.00\ &quot;€&quot;"/>
    </dxf>
    <dxf>
      <numFmt numFmtId="165" formatCode="#,##0.000\ &quot;€&quot;"/>
    </dxf>
    <dxf>
      <numFmt numFmtId="164" formatCode="#,##0.00\ &quot;€&quot;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5" formatCode="#,##0.000\ &quot;€&quot;"/>
    </dxf>
    <dxf>
      <numFmt numFmtId="165" formatCode="#,##0.000\ &quot;€&quot;"/>
    </dxf>
    <dxf>
      <numFmt numFmtId="165" formatCode="#,##0.0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164" formatCode="#,##0.00\ &quot;€&quot;"/>
    </dxf>
    <dxf>
      <numFmt numFmtId="165" formatCode="#,##0.000\ &quot;€&quot;"/>
    </dxf>
    <dxf>
      <numFmt numFmtId="164" formatCode="#,##0.00\ &quot;€&quot;"/>
    </dxf>
    <dxf>
      <numFmt numFmtId="165" formatCode="#,##0.000\ &quot;€&quot;"/>
    </dxf>
    <dxf>
      <numFmt numFmtId="164" formatCode="#,##0.00\ &quot;€&quot;"/>
    </dxf>
    <dxf>
      <numFmt numFmtId="165" formatCode="#,##0.0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#,##0.00\ &quot;€&quot;"/>
      <alignment horizontal="general" vertical="top" textRotation="0" indent="0" justifyLastLine="0" shrinkToFit="0" readingOrder="0"/>
    </dxf>
    <dxf>
      <numFmt numFmtId="164" formatCode="#,##0.00\ &quot;€&quot;"/>
      <alignment horizontal="general" vertical="top" textRotation="0" indent="0" justifyLastLine="0" shrinkToFit="0" readingOrder="0"/>
    </dxf>
    <dxf>
      <numFmt numFmtId="0" formatCode="General"/>
      <alignment horizontal="general" vertical="top" textRotation="0" indent="0" justifyLastLine="0" shrinkToFit="0" readingOrder="0"/>
    </dxf>
    <dxf>
      <numFmt numFmtId="164" formatCode="#,##0.00\ &quot;€&quot;"/>
      <alignment horizontal="general" vertical="top" textRotation="0" wrapText="0" indent="0" justifyLastLine="0" shrinkToFit="0" readingOrder="0"/>
    </dxf>
    <dxf>
      <numFmt numFmtId="164" formatCode="#,##0.00\ &quot;€&quot;"/>
      <alignment horizontal="general" vertical="top" textRotation="0" indent="0" justifyLastLine="0" shrinkToFit="0" readingOrder="0"/>
    </dxf>
    <dxf>
      <numFmt numFmtId="165" formatCode="#,##0.000\ &quot;€&quot;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indent="0" justifyLastLine="0" shrinkToFit="0" readingOrder="0"/>
    </dxf>
    <dxf>
      <numFmt numFmtId="0" formatCode="General"/>
      <alignment horizontal="general" vertical="top" textRotation="0" indent="0" justifyLastLine="0" shrinkToFit="0" readingOrder="0"/>
    </dxf>
    <dxf>
      <numFmt numFmtId="0" formatCode="General"/>
      <alignment horizontal="general" vertical="top" textRotation="0" indent="0" justifyLastLine="0" shrinkToFit="0" readingOrder="0"/>
    </dxf>
    <dxf>
      <numFmt numFmtId="0" formatCode="General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89EA92-5E28-4FCC-B0AC-C14C8D792DDB}" name="raven_a1_bom" displayName="raven_a1_bom" ref="A1:N82" totalsRowCount="1" headerRowDxfId="124" dataDxfId="123" totalsRowDxfId="122">
  <autoFilter ref="A1:N81" xr:uid="{F389EA92-5E28-4FCC-B0AC-C14C8D792DDB}"/>
  <tableColumns count="14">
    <tableColumn id="1" xr3:uid="{FBD79A63-790F-49E2-BC6A-65466A327817}" name="Manufacturer" dataDxfId="121" totalsRowDxfId="13"/>
    <tableColumn id="2" xr3:uid="{EF0BCF62-3C5C-4CCA-8C21-9EDCC1016677}" name=" Part number " dataDxfId="120" totalsRowDxfId="12"/>
    <tableColumn id="3" xr3:uid="{950E352F-55B2-415F-A39B-3A576D70BFEB}" name=" Value " dataDxfId="119" totalsRowDxfId="11"/>
    <tableColumn id="4" xr3:uid="{7E81F713-EA27-4A8B-9F01-FB71B453B483}" name="Qty" dataDxfId="118" totalsRowDxfId="10"/>
    <tableColumn id="11" xr3:uid="{38718262-E3D4-4B01-8074-F22E033DFB62}" name="Ref" dataDxfId="117" totalsRowDxfId="9"/>
    <tableColumn id="10" xr3:uid="{AC3AAA0F-610F-412B-B3C8-0734670B2264}" name="Note" dataDxfId="116" totalsRowDxfId="8"/>
    <tableColumn id="9" xr3:uid="{E2B0653B-4359-40DA-AE8B-41FCFE6DC2ED}" name="LCSC Partnumber" dataDxfId="115" totalsRowDxfId="7"/>
    <tableColumn id="5" xr3:uid="{7F6971B3-F356-4EDA-8528-8D06F1B2514B}" name="Mouser Partnumber" dataDxfId="114" totalsRowDxfId="6"/>
    <tableColumn id="6" xr3:uid="{C1689898-99C5-4D33-ADFE-68C2A9AE934C}" name="Mouser _x000a_Unit Price" dataDxfId="113" totalsRowDxfId="5"/>
    <tableColumn id="8" xr3:uid="{0D79BAEB-B22D-4063-A8FC-8D6E3DC31642}" name="Mouser _x000a_Total Price" totalsRowFunction="custom" dataDxfId="112" totalsRowDxfId="4">
      <calculatedColumnFormula>raven_a1_bom[[#This Row],[Mouser 
Unit Price]]*#REF!</calculatedColumnFormula>
      <totalsRowFormula>SUM(J2:J81)</totalsRowFormula>
    </tableColumn>
    <tableColumn id="17" xr3:uid="{9BA1EFD8-086C-9C4C-AAA8-974778F9104E}" name="Mouser Brutto" totalsRowFunction="custom" dataDxfId="111" totalsRowDxfId="3">
      <calculatedColumnFormula>raven_a1_bom[[#This Row],[Mouser 
Total Price]]*1.19</calculatedColumnFormula>
      <totalsRowFormula>SUM(K2:K81)</totalsRowFormula>
    </tableColumn>
    <tableColumn id="13" xr3:uid="{4E9221D4-6186-6D4E-BC3A-42D0F55BDF6F}" name="alt. Source" dataDxfId="110" totalsRowDxfId="2"/>
    <tableColumn id="14" xr3:uid="{76A2EC68-17B8-2144-8496-E1D3E7C2816A}" name="alt. _x000a_Price" dataDxfId="109" totalsRowDxfId="1"/>
    <tableColumn id="15" xr3:uid="{59294C59-73CE-674C-B5A6-9DBADF794ADC}" name="Alt. _x000a_Total Price" totalsRowFunction="custom" dataDxfId="108" totalsRowDxfId="0">
      <calculatedColumnFormula>#REF!*raven_a1_bom[[#This Row],[alt. 
Price]]</calculatedColumnFormula>
      <totalsRowFormula>SUM(N2:N81)</totalsRow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3D26F3A-8606-4870-ACF8-18E9EF769A94}" name="ROM_PLCC" displayName="ROM_PLCC" ref="A1:N6" totalsRowCount="1">
  <autoFilter ref="A1:N5" xr:uid="{73D26F3A-8606-4870-ACF8-18E9EF769A94}"/>
  <tableColumns count="14">
    <tableColumn id="1" xr3:uid="{475FEB72-ED54-4E8F-8308-5F5D7F6E083B}" name="Manufacturer" dataDxfId="107"/>
    <tableColumn id="2" xr3:uid="{3B93B819-CD51-44CB-A6A5-0777E4E175D0}" name=" Part number " dataDxfId="106"/>
    <tableColumn id="3" xr3:uid="{6D91E389-73AB-48AA-A0CE-C17AA983D7D6}" name=" Value " dataDxfId="105"/>
    <tableColumn id="4" xr3:uid="{BFD1D9D4-A5EC-48EB-A194-5DEE710BD1FE}" name="Qty"/>
    <tableColumn id="5" xr3:uid="{D36A19C7-3BF3-4851-AA0C-4D8CB5AFB7B8}" name=" Ref " dataDxfId="104"/>
    <tableColumn id="6" xr3:uid="{01547DB8-BDFB-4C66-B013-B12775B3698D}" name="Note" dataDxfId="103"/>
    <tableColumn id="7" xr3:uid="{8339776D-CA86-49CA-A692-CA9A66C4F897}" name="LCSC" dataDxfId="102"/>
    <tableColumn id="8" xr3:uid="{20BBD352-393D-478D-B9A9-CAA65531A14D}" name="Mouser" dataDxfId="101"/>
    <tableColumn id="9" xr3:uid="{FF1A9B64-AA30-4FA4-9273-6D06BF945740}" name="Mouser_x000a_Unti Price" dataDxfId="100" totalsRowDxfId="99"/>
    <tableColumn id="11" xr3:uid="{A6872590-2F0D-4339-88F7-65CEADE951A8}" name="Mouser_x000a_Total Price" totalsRowFunction="custom" dataDxfId="98" totalsRowDxfId="97">
      <calculatedColumnFormula>ROM_PLCC[[#This Row],[Qty]]*ROM_PLCC[[#This Row],[Mouser
Unti Price]]</calculatedColumnFormula>
      <totalsRowFormula>SUM(ROM_PLCC[Mouser
Total Price])</totalsRowFormula>
    </tableColumn>
    <tableColumn id="17" xr3:uid="{D33BF455-C1FF-EF41-8EB9-84C0FF9807EB}" name="Mouser Brutto" totalsRowFunction="custom" dataDxfId="96" totalsRowDxfId="95">
      <calculatedColumnFormula>ROM_PLCC[[#This Row],[Mouser
Total Price]]*1.19</calculatedColumnFormula>
      <totalsRowFormula>SUM(ROM_PLCC[Mouser Brutto])</totalsRowFormula>
    </tableColumn>
    <tableColumn id="10" xr3:uid="{7F0DF511-2089-4D48-8B57-2B7F1CD71E67}" name="alt. Source" dataDxfId="94" totalsRowDxfId="93"/>
    <tableColumn id="13" xr3:uid="{833EF795-7692-EE47-A983-4F77DDD55B5F}" name="alt. _x000a_Price" dataDxfId="92" totalsRowDxfId="91">
      <calculatedColumnFormula>56.12/5</calculatedColumnFormula>
    </tableColumn>
    <tableColumn id="14" xr3:uid="{C93312E7-8405-A14A-A133-B5BB14E3B8E3}" name="Alt. _x000a_Total Price" totalsRowFunction="custom" dataDxfId="90" totalsRowDxfId="89">
      <calculatedColumnFormula>ROM_PLCC[[#This Row],[Qty]]*ROM_PLCC[[#This Row],[Mouser
Unti Price]]</calculatedColumnFormula>
      <totalsRowFormula>SUM(ROM_PLCC[Alt. 
Total Price])</totalsRow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B71649F-0840-4160-B6E3-E6A8A608B7B9}" name="SIMM16M" displayName="SIMM16M" ref="A1:N5" totalsRowCount="1">
  <autoFilter ref="A1:N4" xr:uid="{EB71649F-0840-4160-B6E3-E6A8A608B7B9}"/>
  <tableColumns count="14">
    <tableColumn id="1" xr3:uid="{616625F2-5F8E-4013-B62F-A43430C1C368}" name="Manufacturer" dataDxfId="88"/>
    <tableColumn id="2" xr3:uid="{2C9655DC-DB14-4BEC-AC6A-7550040C52A4}" name=" Part number " dataDxfId="87"/>
    <tableColumn id="3" xr3:uid="{FC766F87-2D6A-4D64-A8C2-ABA2BECA66FF}" name=" Value " dataDxfId="86"/>
    <tableColumn id="4" xr3:uid="{863BC53B-F6BE-482F-BA70-0F91006400C5}" name="Qty"/>
    <tableColumn id="5" xr3:uid="{A36C517E-B151-4408-9E7B-B39933C6A810}" name=" Ref " dataDxfId="85"/>
    <tableColumn id="6" xr3:uid="{747A74AE-35C6-492A-941A-6E4718A3E4C7}" name="Note" dataDxfId="84"/>
    <tableColumn id="7" xr3:uid="{D69D39BB-05C9-4DBB-8D22-551D5619A526}" name="LCSC" dataDxfId="83"/>
    <tableColumn id="8" xr3:uid="{18867057-EA15-4C3A-976F-0F9C1EA7B3B1}" name="Mouser" dataDxfId="82"/>
    <tableColumn id="9" xr3:uid="{C6D0D91A-71A5-4368-8155-81E32D3B8CC5}" name="Mouser_x000a_Unti Price" dataDxfId="81" totalsRowDxfId="80"/>
    <tableColumn id="11" xr3:uid="{DA889E3F-42CB-48B8-B0BE-8C232B518A37}" name="Mouser_x000a_Total Price" totalsRowFunction="sum" dataDxfId="79" totalsRowDxfId="78">
      <calculatedColumnFormula>SIMM16M[[#This Row],[Qty]]*SIMM16M[[#This Row],[Mouser
Unti Price]]</calculatedColumnFormula>
    </tableColumn>
    <tableColumn id="17" xr3:uid="{A5CFF1F2-FB45-6240-9DF7-9E3CFFDE019C}" name="Mouser Brutto" totalsRowFunction="custom" dataDxfId="77" totalsRowDxfId="76">
      <calculatedColumnFormula>SIMM16M[[#This Row],[Mouser
Total Price]]*1.19</calculatedColumnFormula>
      <totalsRowFormula>SUM(SIMM16M[Mouser Brutto])</totalsRowFormula>
    </tableColumn>
    <tableColumn id="10" xr3:uid="{DBE1472F-8D15-7F44-BC30-72628A7C870E}" name="alt. Source" dataDxfId="75" totalsRowDxfId="74"/>
    <tableColumn id="13" xr3:uid="{7E300D98-2F75-A840-A852-29FC1EF66EAC}" name="alt. _x000a_Price" dataDxfId="73" totalsRowDxfId="72">
      <calculatedColumnFormula>59.63/15</calculatedColumnFormula>
    </tableColumn>
    <tableColumn id="14" xr3:uid="{079D562B-A704-E147-BF2B-67A3F646F71B}" name="Alt. _x000a_Total Price" totalsRowFunction="custom" dataDxfId="71" totalsRowDxfId="70">
      <calculatedColumnFormula>SIMM16M[[#This Row],[Qty]]*SIMM16M[[#This Row],[alt. 
Price]]</calculatedColumnFormula>
      <totalsRowFormula>SUM(SIMM16M[Alt. 
Total Price])</totalsRow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289C7DF-9810-4E99-ADA3-D2E2FC8C8688}" name="Programmer" displayName="Programmer" ref="A1:N9" totalsRowCount="1">
  <autoFilter ref="A1:N8" xr:uid="{E289C7DF-9810-4E99-ADA3-D2E2FC8C8688}"/>
  <tableColumns count="14">
    <tableColumn id="1" xr3:uid="{6F4F7071-4C31-49CD-815D-39D2425AAA72}" name="Manufacturer" dataDxfId="69"/>
    <tableColumn id="2" xr3:uid="{367E26B6-F34E-426D-8DD2-57733F1E68C1}" name=" Part number " dataDxfId="68"/>
    <tableColumn id="3" xr3:uid="{0126ECFA-C20F-4620-980B-A5835B7FD364}" name=" Value " dataDxfId="67"/>
    <tableColumn id="4" xr3:uid="{FC58B8DE-2880-4F6B-B7D9-021750903392}" name="Qty"/>
    <tableColumn id="5" xr3:uid="{30496BCC-C816-4ED1-BDFE-EAEB4463CF14}" name=" Ref " dataDxfId="66"/>
    <tableColumn id="6" xr3:uid="{9953FC76-EA03-4E7C-864A-19D9722CDCD6}" name="Note" dataDxfId="65"/>
    <tableColumn id="7" xr3:uid="{78DC161D-9AF8-4594-B81F-02F5579EEFEE}" name="LCSC" dataDxfId="64"/>
    <tableColumn id="8" xr3:uid="{50963E24-A549-4E6F-BCBB-A1B6335C1265}" name="Mouser" dataDxfId="63"/>
    <tableColumn id="9" xr3:uid="{737308DD-967B-4ECE-87B8-CB382AB93FED}" name="Mouser_x000a_Unti Price" dataDxfId="62" totalsRowDxfId="61"/>
    <tableColumn id="11" xr3:uid="{ED98091C-C2C5-45BA-ACEC-3BFA04ED6E01}" name="Mouser_x000a_Total Price" totalsRowFunction="sum" dataDxfId="60" totalsRowDxfId="59">
      <calculatedColumnFormula>Programmer[[#This Row],[Qty]]*Programmer[[#This Row],[Mouser
Unti Price]]</calculatedColumnFormula>
    </tableColumn>
    <tableColumn id="17" xr3:uid="{2E283C96-A99A-BD4D-BC78-D4FBEC561E4B}" name="Mouser Brutto" totalsRowFunction="custom" dataDxfId="58" totalsRowDxfId="57">
      <calculatedColumnFormula>Programmer[[#This Row],[Mouser
Total Price]]*1.19</calculatedColumnFormula>
      <totalsRowFormula>SUM(Programmer[Mouser Brutto])</totalsRowFormula>
    </tableColumn>
    <tableColumn id="10" xr3:uid="{E379509A-7F51-1940-97EB-CC2D64A27557}" name="alt. Source" dataDxfId="56" totalsRowDxfId="55"/>
    <tableColumn id="13" xr3:uid="{63DFB45B-9110-F142-BDDD-29EE9C804E32}" name="alt. _x000a_Price" dataDxfId="54" totalsRowDxfId="53">
      <calculatedColumnFormula>1.71/5</calculatedColumnFormula>
    </tableColumn>
    <tableColumn id="14" xr3:uid="{B4A197EB-0E7A-9A42-AF55-22BA270A8145}" name="Alt. _x000a_Total Price" totalsRowFunction="custom" dataDxfId="52" totalsRowDxfId="51">
      <calculatedColumnFormula>Programmer[[#This Row],[Qty]]*Programmer[[#This Row],[alt. 
Price]]</calculatedColumnFormula>
      <totalsRowFormula>SUM(Programmer[Alt. 
Total Price])</totalsRowFormula>
    </tableColumn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6C29DA-1CF7-4176-8EA7-907DCADF40C6}" name="IDESWP" displayName="IDESWP" ref="A1:N5" totalsRowCount="1">
  <autoFilter ref="A1:N4" xr:uid="{316C29DA-1CF7-4176-8EA7-907DCADF40C6}"/>
  <tableColumns count="14">
    <tableColumn id="1" xr3:uid="{B1EBCF75-4750-4E71-968C-119E6942FC5F}" name="Manufacturer" dataDxfId="50"/>
    <tableColumn id="2" xr3:uid="{33C12206-6AED-4F7D-9A7C-8E225B820A76}" name=" Part number " dataDxfId="49"/>
    <tableColumn id="11" xr3:uid="{AAD68D29-F558-4417-9661-DA6445511726}" name="Value" dataDxfId="48"/>
    <tableColumn id="3" xr3:uid="{85B89DE6-CA62-41DB-921C-8F46A0601A89}" name=" Qty "/>
    <tableColumn id="4" xr3:uid="{DC8AEFB5-B065-4DEB-BEC7-BCFCD207E4AF}" name=" Ref" dataDxfId="47"/>
    <tableColumn id="5" xr3:uid="{D51C56E3-4098-4403-8B12-136544A7ED72}" name=" Note " dataDxfId="46"/>
    <tableColumn id="6" xr3:uid="{047D4032-3E7A-4FFA-9E88-8B9004E50529}" name="LCSC" dataDxfId="45"/>
    <tableColumn id="7" xr3:uid="{D785BCD4-BE12-42CB-AD03-59E27104F5C5}" name="Mouser" dataDxfId="44"/>
    <tableColumn id="8" xr3:uid="{6B917D08-1DF1-4EC3-A8BF-A1760CC4E3B7}" name="Mouser_x000a_Unti Price" dataDxfId="43" totalsRowDxfId="42"/>
    <tableColumn id="10" xr3:uid="{4358DBBE-FDFD-4FFF-9BA1-E1372E4541D3}" name="Mouser_x000a_Total Price" totalsRowFunction="sum" dataDxfId="41" totalsRowDxfId="40">
      <calculatedColumnFormula>IDESWP[[#This Row],[ Qty ]]*IDESWP[[#This Row],[Mouser
Unti Price]]</calculatedColumnFormula>
    </tableColumn>
    <tableColumn id="17" xr3:uid="{C3360ACE-6E05-7C4C-9B4E-83C2041527E8}" name="Mouser Brutto" totalsRowFunction="custom" dataDxfId="39" totalsRowDxfId="38">
      <calculatedColumnFormula>IDESWP[[#This Row],[Mouser
Total Price]]*1.19</calculatedColumnFormula>
      <totalsRowFormula>SUM(IDESWP[Mouser Brutto])</totalsRowFormula>
    </tableColumn>
    <tableColumn id="9" xr3:uid="{03DCCBC2-DD2A-1948-8DF3-D697DCAFBBB7}" name="alt. Source" dataDxfId="37" totalsRowDxfId="36"/>
    <tableColumn id="14" xr3:uid="{35D5936F-8DEA-164A-8DB9-AA3D9D1C360F}" name="alt. _x000a_Price" dataDxfId="35" totalsRowDxfId="34">
      <calculatedColumnFormula>12.71/5</calculatedColumnFormula>
    </tableColumn>
    <tableColumn id="15" xr3:uid="{5191B42E-6F2C-0F45-BEC7-B43F3DDE1758}" name="Alt. _x000a_Total Price" totalsRowFunction="custom" dataDxfId="33" totalsRowDxfId="32">
      <calculatedColumnFormula>IDESWP[[#This Row],[ Qty ]]*IDESWP[[#This Row],[alt. 
Price]]</calculatedColumnFormula>
      <totalsRowFormula>SUM(IDESWP[Alt. 
Total Price])</totalsRow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18B6E7-2365-49D7-9BB1-801210BDD57E}" name="CKBD" displayName="CKBD" ref="A1:N12" totalsRowCount="1">
  <autoFilter ref="A1:N11" xr:uid="{AE18B6E7-2365-49D7-9BB1-801210BDD57E}"/>
  <tableColumns count="14">
    <tableColumn id="1" xr3:uid="{8C65A066-5F32-41D1-B820-5EFEB9D6060E}" name="Manufacturer" dataDxfId="31"/>
    <tableColumn id="2" xr3:uid="{4BF64FAA-DFB4-453A-BEA4-3FB322FED108}" name=" Part number " dataDxfId="30"/>
    <tableColumn id="3" xr3:uid="{4DF4D89D-488C-4B86-8D38-6600CB17A902}" name=" Value " dataDxfId="29"/>
    <tableColumn id="4" xr3:uid="{F6243DE4-73D4-42C1-B089-202B20BAD454}" name=" Qty "/>
    <tableColumn id="5" xr3:uid="{E1A9123D-5819-44A1-A18A-E98BB274BEEB}" name=" Ref " dataDxfId="28"/>
    <tableColumn id="11" xr3:uid="{F807D451-8CA0-4247-AD68-989B4A5B7B7E}" name="Note" dataDxfId="27"/>
    <tableColumn id="6" xr3:uid="{B7A4C9BE-75B3-4607-954E-4FC25473F475}" name="LCSC"/>
    <tableColumn id="7" xr3:uid="{CD846890-B67B-45CB-B121-3B848C31949B}" name="Mouser" dataDxfId="26"/>
    <tableColumn id="8" xr3:uid="{EDF8905E-245D-4F34-8C5B-4F64F763A785}" name="Mouser_x000a_Unti Price" dataDxfId="25" totalsRowDxfId="24"/>
    <tableColumn id="10" xr3:uid="{8BEDB1BE-BCF1-4065-B387-1369BEA95D02}" name="Mouser_x000a_Total Price" totalsRowFunction="custom" dataDxfId="23" totalsRowDxfId="22">
      <calculatedColumnFormula>CKBD[[#This Row],[ Qty ]]*CKBD[[#This Row],[Mouser
Unti Price]]</calculatedColumnFormula>
      <totalsRowFormula>SUM(CKBD[Mouser
Total Price])</totalsRowFormula>
    </tableColumn>
    <tableColumn id="17" xr3:uid="{F26CEC28-AA4D-1F45-A635-BCC4CC699F48}" name="Mouser Brutto" totalsRowFunction="custom" dataDxfId="21" totalsRowDxfId="20">
      <calculatedColumnFormula>CKBD[[#This Row],[Mouser
Total Price]]*1.19</calculatedColumnFormula>
      <totalsRowFormula>SUM(CKBD[Mouser Brutto])</totalsRowFormula>
    </tableColumn>
    <tableColumn id="9" xr3:uid="{AA82F2FF-1742-1F47-AB14-117ACFF5F64E}" name="alt. Source" dataDxfId="19" totalsRowDxfId="18"/>
    <tableColumn id="13" xr3:uid="{75F06827-2192-8C48-A12D-CBBC8AA72BD9}" name="alt. _x000a_Price" dataDxfId="17" totalsRowDxfId="16">
      <calculatedColumnFormula>12.54/10</calculatedColumnFormula>
    </tableColumn>
    <tableColumn id="14" xr3:uid="{CD72D2F3-5DB5-4D47-B2BD-40868B2DEAF5}" name="Alt. Total Price" totalsRowFunction="custom" dataDxfId="15" totalsRowDxfId="14">
      <calculatedColumnFormula>CKBD[[#This Row],[ Qty ]]*CKBD[[#This Row],[alt. 
Price]]</calculatedColumnFormula>
      <totalsRowFormula>SUM(CKBD[Alt. Total Price])</totalsRow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mouser.de/ProductDetail/ABRACON/ACH-8.000MHZ-EK?qs=aMAwYrhw3fgM4xeLMObWdw%3D%3D" TargetMode="External"/><Relationship Id="rId21" Type="http://schemas.openxmlformats.org/officeDocument/2006/relationships/hyperlink" Target="https://www.mouser.de/ProductDetail/KEMET/C1206C105K4RACTU?qs=mhB89zxvawkhvFSUXW8mIw%3D%3D" TargetMode="External"/><Relationship Id="rId42" Type="http://schemas.openxmlformats.org/officeDocument/2006/relationships/hyperlink" Target="https://www.mouser.de/ProductDetail/TE-Connectivity/1-2199298-9?qs=fK8dlpkaUMumZ9haKKccEA%3D%3D" TargetMode="External"/><Relationship Id="rId47" Type="http://schemas.openxmlformats.org/officeDocument/2006/relationships/hyperlink" Target="https://www.mouser.de/ProductDetail/Harwin/S8401-46?qs=Qom7kyPojXaFNoCO9lxVnA%3D%3D" TargetMode="External"/><Relationship Id="rId63" Type="http://schemas.openxmlformats.org/officeDocument/2006/relationships/hyperlink" Target="https://www.mouser.de/ProductDetail/TE-Connectivity-AMP/SIL09E102J?qs=qj6TO2nKJqhEI1M4amLLVw%3D%3D" TargetMode="External"/><Relationship Id="rId68" Type="http://schemas.openxmlformats.org/officeDocument/2006/relationships/hyperlink" Target="https://www.ebay.de/itm/157119633468" TargetMode="External"/><Relationship Id="rId84" Type="http://schemas.openxmlformats.org/officeDocument/2006/relationships/hyperlink" Target="https://www.reichelt.de/de/de/shop/produkt/ic-sockel_28-polig_doppelter_federkontakt-86281" TargetMode="External"/><Relationship Id="rId89" Type="http://schemas.openxmlformats.org/officeDocument/2006/relationships/hyperlink" Target="https://www.reichelt.de/de/de/shop/produkt/serielle_echtzeituhr_56_byte_uhr_kalender_8-pin_soic-58150" TargetMode="External"/><Relationship Id="rId16" Type="http://schemas.openxmlformats.org/officeDocument/2006/relationships/hyperlink" Target="https://www.mouser.de/ProductDetail/YAGEO/RT1206FRE074K7L?qs=yNCrj0CQcyLcoH%2FB%252BiP%2FFQ%3D%3D" TargetMode="External"/><Relationship Id="rId11" Type="http://schemas.openxmlformats.org/officeDocument/2006/relationships/hyperlink" Target="https://www.mouser.de/ProductDetail/YAGEO/RT1206FRE0733RL?qs=RtU67MWp17C9BoGN7Wnu3A%3D%3D" TargetMode="External"/><Relationship Id="rId32" Type="http://schemas.openxmlformats.org/officeDocument/2006/relationships/hyperlink" Target="https://www.mouser.de/ProductDetail/Analog-Devices-Inc/DS1818-10%2bTR?qs=S0kZczzPnwnKFlw6JN%2FzqQ%3D%3D" TargetMode="External"/><Relationship Id="rId37" Type="http://schemas.openxmlformats.org/officeDocument/2006/relationships/hyperlink" Target="https://www.mouser.de/ProductDetail/Alps-Alpine/SKHHARA010?qs=seHrhfPpLDx%252BIZL0Z0bB2Q%3D%3D" TargetMode="External"/><Relationship Id="rId53" Type="http://schemas.openxmlformats.org/officeDocument/2006/relationships/hyperlink" Target="https://www.mouser.de/ProductDetail/Wurth-Elektronik/61201021621?qs=W%252B2sBeLta1a0dwX5pxbfXw%3D%3D" TargetMode="External"/><Relationship Id="rId58" Type="http://schemas.openxmlformats.org/officeDocument/2006/relationships/hyperlink" Target="https://www.mouser.de/ProductDetail/Taiwan-Semiconductor/1N914BW-RHG?qs=KwaGCOX4wIYPM9%252B%2FnSKQAQ%3D%3D" TargetMode="External"/><Relationship Id="rId74" Type="http://schemas.openxmlformats.org/officeDocument/2006/relationships/hyperlink" Target="https://www.mouser.de/ProductDetail/Vishay-Semiconductors/CNY17F-3?qs=xCMk%252BIHWTZPgGZuXIQVmMQ%3D%3D" TargetMode="External"/><Relationship Id="rId79" Type="http://schemas.openxmlformats.org/officeDocument/2006/relationships/hyperlink" Target="https://www.reichelt.de/de/de/shop/produkt/widerstandsnetzwerk_8_x_4_7_kohm_2_sil-9-18049" TargetMode="External"/><Relationship Id="rId5" Type="http://schemas.openxmlformats.org/officeDocument/2006/relationships/hyperlink" Target="https://www.mouser.de/ProductDetail/Nexperia/74AHC157D118?qs=P62ublwmbi9xi0CN8itHxA%3D%3D" TargetMode="External"/><Relationship Id="rId90" Type="http://schemas.openxmlformats.org/officeDocument/2006/relationships/hyperlink" Target="https://www.reichelt.de/de/de/shop/produkt/spannungsregler_fest_-4_9_-5_1_v_to-220-23489" TargetMode="External"/><Relationship Id="rId95" Type="http://schemas.openxmlformats.org/officeDocument/2006/relationships/hyperlink" Target="https://www.reichelt.de/de/de/shop/produkt/wannenstecker_10-polig_gerade-22816" TargetMode="External"/><Relationship Id="rId22" Type="http://schemas.openxmlformats.org/officeDocument/2006/relationships/hyperlink" Target="https://www.mouser.de/ProductDetail/Nexperia/74LVCH16245ADGG11?qs=qAI9lz2tHCNstRUooJeCKg%3D%3D" TargetMode="External"/><Relationship Id="rId27" Type="http://schemas.openxmlformats.org/officeDocument/2006/relationships/hyperlink" Target="https://www.mouser.de/ProductDetail/ABRACON/ASV-24.000MHZ-EJ-T?qs=D0XpjEo%2FJ5A3MXd5wpVzGA%3D%3D" TargetMode="External"/><Relationship Id="rId43" Type="http://schemas.openxmlformats.org/officeDocument/2006/relationships/hyperlink" Target="https://www.mouser.de/ProductDetail/TE-Connectivity/1-2199298-8?qs=fK8dlpkaUMsSY7Gqcrol0Q%3D%3D" TargetMode="External"/><Relationship Id="rId48" Type="http://schemas.openxmlformats.org/officeDocument/2006/relationships/hyperlink" Target="https://www.mouser.de/ProductDetail/Molex/171856-1003?qs=s7UCm7gO1bYrc6bByhKL5g%3D%3D" TargetMode="External"/><Relationship Id="rId64" Type="http://schemas.openxmlformats.org/officeDocument/2006/relationships/hyperlink" Target="https://www.mouser.de/ProductDetail/Kycon/K42X-E9P-P-A4NJ?qs=TW8BHqtMTKo%2Fd14fVep1Hg%3D%3D" TargetMode="External"/><Relationship Id="rId69" Type="http://schemas.openxmlformats.org/officeDocument/2006/relationships/hyperlink" Target="https://www.amibay.com/threads/30-pcs-mc68060-rev6.2452792/" TargetMode="External"/><Relationship Id="rId80" Type="http://schemas.openxmlformats.org/officeDocument/2006/relationships/hyperlink" Target="https://www.reichelt.de/de/de/shop/produkt/widerstandsnetzwerk_1_0_kohm_sternschaltung_8wid_9pins-18012" TargetMode="External"/><Relationship Id="rId85" Type="http://schemas.openxmlformats.org/officeDocument/2006/relationships/hyperlink" Target="https://www.reichelt.de/de/de/shop/produkt/ic-sockel_40-polig_doppelter_federkontakt-8224" TargetMode="External"/><Relationship Id="rId3" Type="http://schemas.openxmlformats.org/officeDocument/2006/relationships/hyperlink" Target="https://www.mouser.de/ProductDetail/Analog-Devices-Inc/DS1307Z%2bTR?qs=0Y9aZN%252BMVCXp4OQc9xwQow%3D%3D" TargetMode="External"/><Relationship Id="rId12" Type="http://schemas.openxmlformats.org/officeDocument/2006/relationships/hyperlink" Target="https://www.mouser.de/ProductDetail/YAGEO/RT1206FRE07220RL?qs=yNCrj0CQcyIDJm%252BN6MoQJw%3D%3D" TargetMode="External"/><Relationship Id="rId17" Type="http://schemas.openxmlformats.org/officeDocument/2006/relationships/hyperlink" Target="https://www.mouser.de/ProductDetail/YAGEO/RT1206FRE0710KL?qs=8cPjvKtxWv45%2FSPYTvTNKg%3D%3D" TargetMode="External"/><Relationship Id="rId25" Type="http://schemas.openxmlformats.org/officeDocument/2006/relationships/hyperlink" Target="https://www.mouser.de/ProductDetail/ABRACON/ACH-14.31818MHZ-EK?qs=m%252BUhWDcpCfYHkLvwOoxiTw%3D%3D" TargetMode="External"/><Relationship Id="rId33" Type="http://schemas.openxmlformats.org/officeDocument/2006/relationships/hyperlink" Target="https://www.mouser.de/ProductDetail/Analog-Devices-Inc/MAX3245CAI%2bT?qs=CDqwynd4ZNoTLG520m7jTA%3D%3D" TargetMode="External"/><Relationship Id="rId38" Type="http://schemas.openxmlformats.org/officeDocument/2006/relationships/hyperlink" Target="https://www.mouser.de/ProductDetail/TE-Connectivity/1-881545-4?qs=G55MHhPmvtLkN2rEtNDi5A%3D%3D" TargetMode="External"/><Relationship Id="rId46" Type="http://schemas.openxmlformats.org/officeDocument/2006/relationships/hyperlink" Target="https://www.mouser.de/ProductDetail/Amphenol/L17H26R0121?qs=ToP8pWlZ0bMFtS%252BGyW9sGg%3D%3D" TargetMode="External"/><Relationship Id="rId59" Type="http://schemas.openxmlformats.org/officeDocument/2006/relationships/hyperlink" Target="https://www.mouser.de/ProductDetail/TT-Electronics/L091S472LF?qs=xb9WiAtyCdaDM3%252BK1RO9Bg%3D%3D" TargetMode="External"/><Relationship Id="rId67" Type="http://schemas.openxmlformats.org/officeDocument/2006/relationships/hyperlink" Target="https://www.ebay.de/itm/226947212507" TargetMode="External"/><Relationship Id="rId20" Type="http://schemas.openxmlformats.org/officeDocument/2006/relationships/hyperlink" Target="https://www.mouser.de/ProductDetail/KEMET/C1206C104K5RACTU?qs=VbFpUC1cecnmBMAUeCQCPw%3D%3D" TargetMode="External"/><Relationship Id="rId41" Type="http://schemas.openxmlformats.org/officeDocument/2006/relationships/hyperlink" Target="https://www.mouser.de/ProductDetail/3M/4848-6000-CP?qs=IGgAdOvCTsT1IGT3CDXYFQ%3D%3D" TargetMode="External"/><Relationship Id="rId54" Type="http://schemas.openxmlformats.org/officeDocument/2006/relationships/hyperlink" Target="https://www.mouser.de/ProductDetail/Wurth-Elektronik/61301021121?qs=ZtY9WdtwX5612K9FdDCZCA%3D%3D" TargetMode="External"/><Relationship Id="rId62" Type="http://schemas.openxmlformats.org/officeDocument/2006/relationships/hyperlink" Target="https://www.mouser.de/ProductDetail/Panasonic/EEU-EB1H100SH?qs=MtOUKumLmnaxYZkjnKwzWw%3D%3D" TargetMode="External"/><Relationship Id="rId70" Type="http://schemas.openxmlformats.org/officeDocument/2006/relationships/hyperlink" Target="https://www.ebay.de/itm/111453170661" TargetMode="External"/><Relationship Id="rId75" Type="http://schemas.openxmlformats.org/officeDocument/2006/relationships/hyperlink" Target="https://www.mouser.de/ProductDetail/ABRACON/ACHL-25.000MHZ-EK?qs=m%252BUhWDcpCfaIXqsNcuDktQ%3D%3D" TargetMode="External"/><Relationship Id="rId83" Type="http://schemas.openxmlformats.org/officeDocument/2006/relationships/hyperlink" Target="https://www.reichelt.de/de/de/shop/produkt/ic-sockel_24-polig_doppelter_federkont_schmal-8217" TargetMode="External"/><Relationship Id="rId88" Type="http://schemas.openxmlformats.org/officeDocument/2006/relationships/hyperlink" Target="https://www.reichelt.de/de/de/shop/produkt/kurzschlussbruecke_schw_m_grifflasche-9019" TargetMode="External"/><Relationship Id="rId91" Type="http://schemas.openxmlformats.org/officeDocument/2006/relationships/hyperlink" Target="https://www.reichelt.de/de/de/shop/produkt/optokoppler_dil-6-219222" TargetMode="External"/><Relationship Id="rId96" Type="http://schemas.openxmlformats.org/officeDocument/2006/relationships/hyperlink" Target="https://www.ebay.de/itm/111453170661" TargetMode="External"/><Relationship Id="rId1" Type="http://schemas.openxmlformats.org/officeDocument/2006/relationships/hyperlink" Target="https://www.mouser.de/ProductDetail/Infineon/CY2308SXC-2?qs=INUNDRnszcZ2aiGQsEzXKA%3D%3D" TargetMode="External"/><Relationship Id="rId6" Type="http://schemas.openxmlformats.org/officeDocument/2006/relationships/hyperlink" Target="https://www.mouser.de/ProductDetail/Texas-Instruments/CD74HCT10M96G4?qs=ChKNY6DiOptOIaRvAjgppA%3D%3D" TargetMode="External"/><Relationship Id="rId15" Type="http://schemas.openxmlformats.org/officeDocument/2006/relationships/hyperlink" Target="https://www.mouser.de/ProductDetail/YAGEO/RT1206FRE072K2L?qs=yNCrj0CQcyJif6VASMbdeQ%3D%3D" TargetMode="External"/><Relationship Id="rId23" Type="http://schemas.openxmlformats.org/officeDocument/2006/relationships/hyperlink" Target="https://www.mouser.de/ProductDetail/ECS/ECS-.327-12.5-13X-C?qs=zW32dvEIR3sSXlfaut3cdQ%3D%3D" TargetMode="External"/><Relationship Id="rId28" Type="http://schemas.openxmlformats.org/officeDocument/2006/relationships/hyperlink" Target="https://www.mouser.de/ProductDetail/ABRACON/ACHL-48.000MHZ-EK?qs=2xLVn2jvFutFRHoH7%252BEkKw%3D%3D" TargetMode="External"/><Relationship Id="rId36" Type="http://schemas.openxmlformats.org/officeDocument/2006/relationships/hyperlink" Target="https://www.mouser.de/ProductDetail/Microchip/ATF1508AS-7JX84?qs=fH4tvdCgwtN3Qt072sj77g%3D%3D" TargetMode="External"/><Relationship Id="rId49" Type="http://schemas.openxmlformats.org/officeDocument/2006/relationships/hyperlink" Target="https://www.mouser.de/ProductDetail/Molex/87831-4420?qs=tYx%252BZc2nXqqGnHzye8Wn9w%3D%3D" TargetMode="External"/><Relationship Id="rId57" Type="http://schemas.openxmlformats.org/officeDocument/2006/relationships/hyperlink" Target="https://www.mouser.de/ProductDetail/Wurth-Elektronik/61300211121?qs=t4813l51qx%252B1A5GYDQxPlw%3D%3D" TargetMode="External"/><Relationship Id="rId10" Type="http://schemas.openxmlformats.org/officeDocument/2006/relationships/hyperlink" Target="https://www.mouser.de/ProductDetail/Comchip-Technology/CGRKM4001-HF?qs=fer0DVZjnG5DVcelm4nmsA%3D%3D" TargetMode="External"/><Relationship Id="rId31" Type="http://schemas.openxmlformats.org/officeDocument/2006/relationships/hyperlink" Target="https://www.mouser.de/ProductDetail/Texas-Instruments/LM7905CT-NOPB?qs=QbsRYf82W3EUyxHaqeuxKA%3D%3D" TargetMode="External"/><Relationship Id="rId44" Type="http://schemas.openxmlformats.org/officeDocument/2006/relationships/hyperlink" Target="https://www.mouser.de/ProductDetail/Kycon/KMDGX-6SG-P-S4N?qs=wzaPhkLM3Q5CI9SGP7X58Q%3D%3D" TargetMode="External"/><Relationship Id="rId52" Type="http://schemas.openxmlformats.org/officeDocument/2006/relationships/hyperlink" Target="https://www.mouser.de/ProductDetail/TE-Connectivity/1-1775099-3?qs=28ld6GkVMjRzvehyCXdQkg%3D%3D" TargetMode="External"/><Relationship Id="rId60" Type="http://schemas.openxmlformats.org/officeDocument/2006/relationships/hyperlink" Target="https://www.mouser.de/ProductDetail/TT-Electronics/L091S103LF?qs=fDJELps25Vsbwq1OlWn5Gg%3D%3D" TargetMode="External"/><Relationship Id="rId65" Type="http://schemas.openxmlformats.org/officeDocument/2006/relationships/hyperlink" Target="https://www.ebay.de/itm/202880134969?_skw=YM2149&amp;epid=23007487365&amp;itmmeta=01K6BEQ1761YXCHYQXX93MZAKP&amp;hash=item2f3c992f39:g:rYYAAOSw9z1cD-gY&amp;itmprp=enc%3AAQAKAAAA4FkggFvd1GGDu0w3yXCmi1f9kT5YAxrv7iHk8jpWVbUhGrx0ozC0x9VA6%2Bcr%2FfKSQCt1L%2BFaGWnw3na%2B1Hfa7Tm%2Fohv67iEA73y0DZynP1wUKoDAS3paFNWFm0VXhhwZ1POY35TBJYq4fbPfE%2B4UfBVp5ZW5Nm1zxdVLw47mgQei%2FI2xVGXeX0om6M1mMZHbq4m4FhFcTevx8VzdK6Eg1bLK0Awqk5dgkpoyVKiH5TQCIkZTE98ZYcag%2BDqAOOVSlAf6rlbeflMGGqawoNhGhjgeBgO%2BJFq0%2F1a6NWqU%2FcBp%7Ctkp%3ABk9SR7iU3O6yZg" TargetMode="External"/><Relationship Id="rId73" Type="http://schemas.openxmlformats.org/officeDocument/2006/relationships/hyperlink" Target="https://www.mouser.de/ProductDetail/Preci-dip/540-88-068-24-008?qs=uQD7XCvsSCNTwomUCFHTLA%3D%3D" TargetMode="External"/><Relationship Id="rId78" Type="http://schemas.openxmlformats.org/officeDocument/2006/relationships/hyperlink" Target="https://www.reichelt.de/de/de/shop/produkt/widerstandsnetzwerk_10_kohm_sternschaltung_8wid_9pins-18019" TargetMode="External"/><Relationship Id="rId81" Type="http://schemas.openxmlformats.org/officeDocument/2006/relationships/hyperlink" Target="https://www.reichelt.de/de/de/shop/produkt/wannenstiftleiste_rm_2_00mm_gerade_44-polig-330963" TargetMode="External"/><Relationship Id="rId86" Type="http://schemas.openxmlformats.org/officeDocument/2006/relationships/hyperlink" Target="https://www.reichelt.de/de/de/shop/produkt/ic-fassung_68-polig_plcc-14703" TargetMode="External"/><Relationship Id="rId94" Type="http://schemas.openxmlformats.org/officeDocument/2006/relationships/hyperlink" Target="https://www.reichelt.de/de/de/shop/produkt/stiftleiste_2_x_5_polig_gerade_rastermass_2_54_mm-404287" TargetMode="External"/><Relationship Id="rId4" Type="http://schemas.openxmlformats.org/officeDocument/2006/relationships/hyperlink" Target="https://www.mouser.de/ProductDetail/Analog-Devices-Inc/MAX16054AZT%2bT?qs=CDqwynd4ZNoG75aAAjGoqQ%3D%3D" TargetMode="External"/><Relationship Id="rId9" Type="http://schemas.openxmlformats.org/officeDocument/2006/relationships/hyperlink" Target="https://www.mouser.de/ProductDetail/TDK/B57621C5103J62?qs=LrU5VpCvnuvObRTK%252BVWp2g%3D%3D" TargetMode="External"/><Relationship Id="rId13" Type="http://schemas.openxmlformats.org/officeDocument/2006/relationships/hyperlink" Target="https://www.mouser.de/ProductDetail/YAGEO/RT1206FRE07470RL?qs=yNCrj0CQcyINIXapwYY9FA%3D%3D" TargetMode="External"/><Relationship Id="rId18" Type="http://schemas.openxmlformats.org/officeDocument/2006/relationships/hyperlink" Target="https://www.mouser.de/ProductDetail/KEMET/C1206C330J1GACTU?qs=QMB%252B36lCsNTZJroqikiHEg%3D%3D" TargetMode="External"/><Relationship Id="rId39" Type="http://schemas.openxmlformats.org/officeDocument/2006/relationships/hyperlink" Target="https://www.mouser.de/ProductDetail/Aries-Electronics/1108800?qs=WZRMhwwaLl%2FwPZzvk3pU8Q%3D%3D" TargetMode="External"/><Relationship Id="rId34" Type="http://schemas.openxmlformats.org/officeDocument/2006/relationships/hyperlink" Target="https://www.mouser.de/ProductDetail/Microchip/PIC16F876A-I-SP?qs=wPbeaPfwU9%2FdIiAjeCfoEA%3D%3D" TargetMode="External"/><Relationship Id="rId50" Type="http://schemas.openxmlformats.org/officeDocument/2006/relationships/hyperlink" Target="https://www.mouser.de/ProductDetail/TE-Connectivity/5176139-2?qs=U4pz39agNJBU0eumMqgpvw%3D%3D" TargetMode="External"/><Relationship Id="rId55" Type="http://schemas.openxmlformats.org/officeDocument/2006/relationships/hyperlink" Target="https://www.mouser.de/ProductDetail/Wurth-Elektronik/61300821121?qs=PhR8RmCirEZmTYQilRTqTw%3D%3D" TargetMode="External"/><Relationship Id="rId76" Type="http://schemas.openxmlformats.org/officeDocument/2006/relationships/hyperlink" Target="https://www.mouser.de/ProductDetail/ABRACON/ACHL-32.000MHZ-EK?qs=aMAwYrhw3fhY5hpGG6JEHQ%3D%3D" TargetMode="External"/><Relationship Id="rId97" Type="http://schemas.openxmlformats.org/officeDocument/2006/relationships/table" Target="../tables/table1.xml"/><Relationship Id="rId7" Type="http://schemas.openxmlformats.org/officeDocument/2006/relationships/hyperlink" Target="https://www.mouser.de/ProductDetail/Texas-Instruments/SN74LS148DR?qs=N6WZOzgtpqUYbR2JHrDnOg%3D%3D" TargetMode="External"/><Relationship Id="rId71" Type="http://schemas.openxmlformats.org/officeDocument/2006/relationships/hyperlink" Target="https://www.mouser.de/ProductDetail/Wurth-Elektronik/61300411121?qs=PhR8RmCirEYQcLLqXD8rAA%3D%3D" TargetMode="External"/><Relationship Id="rId92" Type="http://schemas.openxmlformats.org/officeDocument/2006/relationships/hyperlink" Target="https://www.reichelt.de/de/de/shop/produkt/stiftleiste_40-polig_vergoldet_2_54mm-235661" TargetMode="External"/><Relationship Id="rId2" Type="http://schemas.openxmlformats.org/officeDocument/2006/relationships/hyperlink" Target="https://www.mouser.de/ProductDetail/Texas-Instruments/TXU0202DCUR?qs=t7xnP681wgVssPLUozppFA%3D%3D" TargetMode="External"/><Relationship Id="rId29" Type="http://schemas.openxmlformats.org/officeDocument/2006/relationships/hyperlink" Target="https://www.mouser.de/ProductDetail/Vishay/IRF510PBF?qs=cvaI6ThkwxvE%2Fq53SiepeA%3D%3D" TargetMode="External"/><Relationship Id="rId24" Type="http://schemas.openxmlformats.org/officeDocument/2006/relationships/hyperlink" Target="https://www.mouser.de/ProductDetail/CTS/MP024S?qs=Mr%252BgrRYddfp%2FFv5qarYPDw%3D%3D" TargetMode="External"/><Relationship Id="rId40" Type="http://schemas.openxmlformats.org/officeDocument/2006/relationships/hyperlink" Target="https://www.mouser.de/ProductDetail/Preci-dip/540-88-084-24-008?qs=uQD7XCvsSCPDVAoQ8MY07g%3D%3D" TargetMode="External"/><Relationship Id="rId45" Type="http://schemas.openxmlformats.org/officeDocument/2006/relationships/hyperlink" Target="https://www.mouser.de/ProductDetail/Kycon/STX-4235-3-3-N?qs=ZTSmt56lTDBfkW0yztFGwg%3D%3D" TargetMode="External"/><Relationship Id="rId66" Type="http://schemas.openxmlformats.org/officeDocument/2006/relationships/hyperlink" Target="https://www.ebay.de/itm/316113025727" TargetMode="External"/><Relationship Id="rId87" Type="http://schemas.openxmlformats.org/officeDocument/2006/relationships/hyperlink" Target="https://www.reichelt.de/de/de/shop/produkt/ic-fassung_84-polig_plcc-14704" TargetMode="External"/><Relationship Id="rId61" Type="http://schemas.openxmlformats.org/officeDocument/2006/relationships/hyperlink" Target="https://www.mouser.de/ProductDetail/Panasonic/EEU-EB1H4R7SH?qs=MtOUKumLmna4Mo%2FieUkK%252Bw%3D%3D" TargetMode="External"/><Relationship Id="rId82" Type="http://schemas.openxmlformats.org/officeDocument/2006/relationships/hyperlink" Target="https://www.reichelt.de/de/de/shop/produkt/molex_stiftleiste_-_kk_-_1x3-polig_-_stecker-237628" TargetMode="External"/><Relationship Id="rId19" Type="http://schemas.openxmlformats.org/officeDocument/2006/relationships/hyperlink" Target="https://www.mouser.de/ProductDetail/KEMET/C1206C103K2RACTU?qs=gk1esnJQeXpM8k3U0EBgJA%3D%3D" TargetMode="External"/><Relationship Id="rId14" Type="http://schemas.openxmlformats.org/officeDocument/2006/relationships/hyperlink" Target="https://www.mouser.de/ProductDetail/YAGEO/RT1206FRE071KL?qs=8cPjvKtxWv7jh0D8%252BNyMRg%3D%3D" TargetMode="External"/><Relationship Id="rId30" Type="http://schemas.openxmlformats.org/officeDocument/2006/relationships/hyperlink" Target="https://www.mouser.de/ProductDetail/MaxLinear/XR68M752IM48-F?qs=S%2FCBhQS5rCoh7JKLcVAnOg%3D%3D" TargetMode="External"/><Relationship Id="rId35" Type="http://schemas.openxmlformats.org/officeDocument/2006/relationships/hyperlink" Target="https://www.mouser.de/ProductDetail/Microchip/ATF22V10C-10PU?qs=sbcp%2F4gpy08q9KneenDHAA%3D%3D" TargetMode="External"/><Relationship Id="rId56" Type="http://schemas.openxmlformats.org/officeDocument/2006/relationships/hyperlink" Target="https://www.mouser.de/ProductDetail/Wurth-Elektronik/61300311121?qs=PhR8RmCirEYxRWFJzNKsUw%3D%3D" TargetMode="External"/><Relationship Id="rId77" Type="http://schemas.openxmlformats.org/officeDocument/2006/relationships/hyperlink" Target="https://www.mouser.de/ProductDetail/ABRACON/ACHL-40.000MHZ-EK?qs=A7YjigRBFZnqQwziXFw56w%3D%3D" TargetMode="External"/><Relationship Id="rId8" Type="http://schemas.openxmlformats.org/officeDocument/2006/relationships/hyperlink" Target="https://www.mouser.de/ProductDetail/Texas-Instruments/SN74LS07DR?qs=pt%2FIv5r0EPd%252BnAeNi0z2lw%3D%3D" TargetMode="External"/><Relationship Id="rId51" Type="http://schemas.openxmlformats.org/officeDocument/2006/relationships/hyperlink" Target="https://www.mouser.de/ProductDetail/TE-Connectivity/5822030-3?qs=VZ9FDhhp7Slpu686fNrT6A%3D%3D" TargetMode="External"/><Relationship Id="rId72" Type="http://schemas.openxmlformats.org/officeDocument/2006/relationships/hyperlink" Target="https://www.mouser.de/ProductDetail/3M-Electronic-Solutions-Division/4840-6000-CP?qs=IGgAdOvCTsSupLulAZdH%252BA%3D%3D" TargetMode="External"/><Relationship Id="rId93" Type="http://schemas.openxmlformats.org/officeDocument/2006/relationships/hyperlink" Target="https://www.reichelt.de/de/de/shop/produkt/stiftleiste_2x4_polig_gerade_2_54_mm_laenge_13_8_mm-404297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ouser.de/ProductDetail/Microchip/SST39LF040-55-4C-NHE-T?qs=eTPcRhULBzwLCmdSaWgNMg%3D%3D" TargetMode="External"/><Relationship Id="rId2" Type="http://schemas.openxmlformats.org/officeDocument/2006/relationships/hyperlink" Target="https://www.mouser.de/ProductDetail/3M/8432-11B1-RK-TP?qs=WZRMhwwaLl%252BJNLwq80awXg%3D%3D" TargetMode="External"/><Relationship Id="rId1" Type="http://schemas.openxmlformats.org/officeDocument/2006/relationships/hyperlink" Target="https://www.mouser.de/ProductDetail/KEMET/C1206C104K5RACTU?qs=VbFpUC1cecnmBMAUeCQCPw%3D%3D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hyperlink" Target="https://www.mouser.de/ProductDetail/KEMET/C1206C104K5RACTU?qs=VbFpUC1cecnmBMAUeCQCPw%3D%3D" TargetMode="External"/><Relationship Id="rId1" Type="http://schemas.openxmlformats.org/officeDocument/2006/relationships/hyperlink" Target="https://www.mouser.de/ProductDetail/Alliance-Memory/AS6C6416-55TIN?qs=GmNq1OH0n5SzDB5s%252B7Ym0A%3D%3D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ichelt.de/de/de/shop/produkt/widerstandsnetzwerk_1_0_kohm_sternschaltung_8wid_9pins-18012" TargetMode="External"/><Relationship Id="rId3" Type="http://schemas.openxmlformats.org/officeDocument/2006/relationships/hyperlink" Target="https://www.mouser.de/ProductDetail/Alps-Alpine/SKHHARA010?qs=seHrhfPpLDx%252BIZL0Z0bB2Q%3D%3D" TargetMode="External"/><Relationship Id="rId7" Type="http://schemas.openxmlformats.org/officeDocument/2006/relationships/hyperlink" Target="https://www.reichelt.de/de/de/shop/produkt/8-fach_d_typ_flip-flop_mit_clear_2_-_6_v_dil-20-3186" TargetMode="External"/><Relationship Id="rId2" Type="http://schemas.openxmlformats.org/officeDocument/2006/relationships/hyperlink" Target="https://www.mouser.de/ProductDetail/TE-Connectivity/5822030-3?qs=VZ9FDhhp7Slpu686fNrT6A%3D%3D" TargetMode="External"/><Relationship Id="rId1" Type="http://schemas.openxmlformats.org/officeDocument/2006/relationships/hyperlink" Target="https://www.mouser.de/ProductDetail/Raspberry-Pi/SC0915?qs=T%252BzbugeAwjgnLi4azxXVFA%3D%3D" TargetMode="External"/><Relationship Id="rId6" Type="http://schemas.openxmlformats.org/officeDocument/2006/relationships/hyperlink" Target="https://www.mouser.de/ProductDetail/Vishay/K104K10X7RF53H5?qs=fflMSwnno4x9bs4LC2tdMA%3D%3D" TargetMode="External"/><Relationship Id="rId5" Type="http://schemas.openxmlformats.org/officeDocument/2006/relationships/hyperlink" Target="https://www.mouser.de/ProductDetail/Texas-Instruments/SN74HC273N?qs=WzgTT80quPHVX8D0%252BDpSlA%3D%3D" TargetMode="External"/><Relationship Id="rId4" Type="http://schemas.openxmlformats.org/officeDocument/2006/relationships/hyperlink" Target="https://www.mouser.de/ProductDetail/Bourns/4609X-101-102LF?qs=nFt9sTYf7TAKYPPrg1sLvw%3D%3D" TargetMode="External"/><Relationship Id="rId9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eichelt.de/de/de/shop/produkt/wannenstiftleiste_rm_2_00mm_gewinkelt_44-polig-330964" TargetMode="External"/><Relationship Id="rId2" Type="http://schemas.openxmlformats.org/officeDocument/2006/relationships/hyperlink" Target="https://www.mouser.de/ProductDetail/Molex/87833-4420?qs=7wMBv%2Ftbz9I%252BxM51SHOPlg%3D%3D" TargetMode="External"/><Relationship Id="rId1" Type="http://schemas.openxmlformats.org/officeDocument/2006/relationships/hyperlink" Target="https://www.mouser.de/ProductDetail/Samtec/SQT-122-01-L-D-RA?qs=92ilVni64gzj%252BY5f5g73%2FQ%3D%3D" TargetMode="Externa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ichelt.de/de/de/shop/produkt/stiftleiste_1_x_4_polig_gerade_rastermass_2_54_mm-404280" TargetMode="External"/><Relationship Id="rId3" Type="http://schemas.openxmlformats.org/officeDocument/2006/relationships/hyperlink" Target="https://www.mouser.de/ProductDetail/KEMET/C1206C105K4RAC?qs=esDHISMOsl1e4qSv4fn%2FRQ%3D%3D" TargetMode="External"/><Relationship Id="rId7" Type="http://schemas.openxmlformats.org/officeDocument/2006/relationships/hyperlink" Target="https://www.reichelt.de/de/de/shop/produkt/stiftleiste_2_00mm_2x5_gerade-262763" TargetMode="External"/><Relationship Id="rId2" Type="http://schemas.openxmlformats.org/officeDocument/2006/relationships/hyperlink" Target="https://www.mouser.de/ProductDetail/KEMET/C1206C104K5RACTU?qs=VbFpUC1cecnmBMAUeCQCPw%3D%3D" TargetMode="External"/><Relationship Id="rId1" Type="http://schemas.openxmlformats.org/officeDocument/2006/relationships/hyperlink" Target="https://www.mouser.de/ProductDetail/KEMET/C1206C334K5RACTU?qs=r%2FVmNO8Tjq4PWFHaB3s1oA%3D%3D" TargetMode="External"/><Relationship Id="rId6" Type="http://schemas.openxmlformats.org/officeDocument/2006/relationships/hyperlink" Target="https://www.ebay.de/itm/396572157820" TargetMode="External"/><Relationship Id="rId5" Type="http://schemas.openxmlformats.org/officeDocument/2006/relationships/hyperlink" Target="https://www.mouser.de/ProductDetail/YAGEO/RT1206FRE1310KL?qs=Fz%2FrpjPuTcG5N6QupHrVzw%3D%3D" TargetMode="External"/><Relationship Id="rId4" Type="http://schemas.openxmlformats.org/officeDocument/2006/relationships/hyperlink" Target="https://www.mouser.de/ProductDetail/YAGEO/RT1206FRE131KL?qs=Fz%2FrpjPuTcEcspLF9a%252BDvQ%3D%3D" TargetMode="External"/><Relationship Id="rId9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B2E57-0886-49C2-B159-527F050E8B42}">
  <dimension ref="A1:N94"/>
  <sheetViews>
    <sheetView tabSelected="1" zoomScaleNormal="100" workbookViewId="0">
      <pane xSplit="3" ySplit="1" topLeftCell="D71" activePane="bottomRight" state="frozen"/>
      <selection activeCell="M77" sqref="M77"/>
      <selection pane="topRight" activeCell="D1" sqref="D1"/>
      <selection pane="bottomLeft" activeCell="A70" sqref="A70"/>
      <selection pane="bottomRight" activeCell="G94" sqref="G94"/>
    </sheetView>
  </sheetViews>
  <sheetFormatPr baseColWidth="10" defaultColWidth="10.83203125" defaultRowHeight="15" x14ac:dyDescent="0.2"/>
  <cols>
    <col min="1" max="1" width="19.83203125" style="17" bestFit="1" customWidth="1"/>
    <col min="2" max="2" width="20.1640625" style="17" bestFit="1" customWidth="1"/>
    <col min="3" max="3" width="12" style="17" bestFit="1" customWidth="1"/>
    <col min="4" max="4" width="6.1640625" style="17" bestFit="1" customWidth="1"/>
    <col min="5" max="5" width="12.83203125" style="14" customWidth="1"/>
    <col min="6" max="6" width="24.1640625" style="17" bestFit="1" customWidth="1"/>
    <col min="7" max="7" width="11.83203125" style="17" customWidth="1"/>
    <col min="8" max="8" width="21.6640625" style="17" bestFit="1" customWidth="1"/>
    <col min="9" max="9" width="11.1640625" style="19" bestFit="1" customWidth="1"/>
    <col min="10" max="11" width="10.83203125" style="20"/>
    <col min="12" max="12" width="21.6640625" style="17" bestFit="1" customWidth="1"/>
    <col min="13" max="16384" width="10.83203125" style="17"/>
  </cols>
  <sheetData>
    <row r="1" spans="1:14" s="14" customFormat="1" ht="32" x14ac:dyDescent="0.2">
      <c r="A1" s="14" t="s">
        <v>0</v>
      </c>
      <c r="B1" s="14" t="s">
        <v>1</v>
      </c>
      <c r="C1" s="14" t="s">
        <v>2</v>
      </c>
      <c r="D1" s="14" t="s">
        <v>212</v>
      </c>
      <c r="E1" s="14" t="s">
        <v>239</v>
      </c>
      <c r="F1" s="14" t="s">
        <v>211</v>
      </c>
      <c r="G1" s="14" t="s">
        <v>481</v>
      </c>
      <c r="H1" s="14" t="s">
        <v>436</v>
      </c>
      <c r="I1" s="15" t="s">
        <v>347</v>
      </c>
      <c r="J1" s="16" t="s">
        <v>348</v>
      </c>
      <c r="K1" s="16" t="s">
        <v>473</v>
      </c>
      <c r="L1" s="14" t="s">
        <v>345</v>
      </c>
      <c r="M1" s="14" t="s">
        <v>352</v>
      </c>
      <c r="N1" s="14" t="s">
        <v>353</v>
      </c>
    </row>
    <row r="2" spans="1:14" ht="96" x14ac:dyDescent="0.2">
      <c r="A2" s="17" t="s">
        <v>4</v>
      </c>
      <c r="B2" s="17" t="s">
        <v>5</v>
      </c>
      <c r="C2" s="17" t="s">
        <v>6</v>
      </c>
      <c r="D2" s="17">
        <v>12</v>
      </c>
      <c r="E2" s="14" t="s">
        <v>364</v>
      </c>
      <c r="H2" s="18" t="s">
        <v>328</v>
      </c>
      <c r="I2" s="19">
        <v>0.112</v>
      </c>
      <c r="J2" s="20">
        <f>raven_a1_bom[[#This Row],[Qty]]*raven_a1_bom[[#This Row],[Mouser 
Unit Price]]</f>
        <v>1.3440000000000001</v>
      </c>
      <c r="K2" s="20">
        <f>raven_a1_bom[[#This Row],[Mouser 
Total Price]]*1.19</f>
        <v>1.5993600000000001</v>
      </c>
      <c r="M2" s="20"/>
      <c r="N2" s="20"/>
    </row>
    <row r="3" spans="1:14" ht="32" x14ac:dyDescent="0.2">
      <c r="A3" s="17" t="s">
        <v>4</v>
      </c>
      <c r="B3" s="17" t="s">
        <v>8</v>
      </c>
      <c r="C3" s="17" t="s">
        <v>9</v>
      </c>
      <c r="D3" s="17">
        <v>4</v>
      </c>
      <c r="E3" s="14" t="s">
        <v>365</v>
      </c>
      <c r="H3" s="18" t="s">
        <v>327</v>
      </c>
      <c r="I3" s="19">
        <v>0.25800000000000001</v>
      </c>
      <c r="J3" s="20">
        <f>raven_a1_bom[[#This Row],[Qty]]*raven_a1_bom[[#This Row],[Mouser 
Unit Price]]</f>
        <v>1.032</v>
      </c>
      <c r="K3" s="20">
        <f>raven_a1_bom[[#This Row],[Mouser 
Total Price]]*1.19</f>
        <v>1.2280800000000001</v>
      </c>
      <c r="M3" s="20"/>
      <c r="N3" s="20"/>
    </row>
    <row r="4" spans="1:14" ht="32" x14ac:dyDescent="0.2">
      <c r="A4" s="17" t="s">
        <v>10</v>
      </c>
      <c r="B4" s="17" t="s">
        <v>11</v>
      </c>
      <c r="C4" s="17" t="s">
        <v>12</v>
      </c>
      <c r="D4" s="17">
        <v>4</v>
      </c>
      <c r="E4" s="14" t="s">
        <v>366</v>
      </c>
      <c r="F4" s="17" t="s">
        <v>260</v>
      </c>
      <c r="G4" s="17" t="s">
        <v>244</v>
      </c>
      <c r="H4" s="18" t="s">
        <v>282</v>
      </c>
      <c r="M4" s="20"/>
      <c r="N4" s="20"/>
    </row>
    <row r="5" spans="1:14" ht="409.6" x14ac:dyDescent="0.2">
      <c r="A5" s="17" t="s">
        <v>10</v>
      </c>
      <c r="B5" s="17" t="s">
        <v>13</v>
      </c>
      <c r="C5" s="17" t="s">
        <v>14</v>
      </c>
      <c r="D5" s="17">
        <v>52</v>
      </c>
      <c r="E5" s="14" t="s">
        <v>367</v>
      </c>
      <c r="F5" s="17" t="s">
        <v>260</v>
      </c>
      <c r="G5" s="17" t="s">
        <v>245</v>
      </c>
      <c r="H5" s="18" t="s">
        <v>281</v>
      </c>
      <c r="M5" s="20"/>
      <c r="N5" s="20"/>
    </row>
    <row r="6" spans="1:14" ht="16" x14ac:dyDescent="0.2">
      <c r="A6" s="17" t="s">
        <v>10</v>
      </c>
      <c r="B6" s="17" t="s">
        <v>15</v>
      </c>
      <c r="C6" s="17" t="s">
        <v>16</v>
      </c>
      <c r="D6" s="17">
        <v>1</v>
      </c>
      <c r="E6" s="14" t="s">
        <v>368</v>
      </c>
      <c r="F6" s="17" t="s">
        <v>260</v>
      </c>
      <c r="G6" s="17" t="s">
        <v>246</v>
      </c>
      <c r="H6" s="18" t="s">
        <v>280</v>
      </c>
      <c r="M6" s="20"/>
      <c r="N6" s="20"/>
    </row>
    <row r="7" spans="1:14" ht="16" x14ac:dyDescent="0.2">
      <c r="A7" s="17" t="s">
        <v>10</v>
      </c>
      <c r="B7" s="17" t="s">
        <v>17</v>
      </c>
      <c r="C7" s="17" t="s">
        <v>18</v>
      </c>
      <c r="D7" s="17">
        <v>2</v>
      </c>
      <c r="E7" s="14" t="s">
        <v>369</v>
      </c>
      <c r="F7" s="17" t="s">
        <v>260</v>
      </c>
      <c r="G7" s="17" t="s">
        <v>247</v>
      </c>
      <c r="H7" s="18" t="s">
        <v>279</v>
      </c>
      <c r="M7" s="20"/>
      <c r="N7" s="20"/>
    </row>
    <row r="8" spans="1:14" ht="144" x14ac:dyDescent="0.2">
      <c r="A8" s="17" t="s">
        <v>19</v>
      </c>
      <c r="B8" s="17" t="s">
        <v>20</v>
      </c>
      <c r="C8" s="17" t="s">
        <v>21</v>
      </c>
      <c r="D8" s="17">
        <v>18</v>
      </c>
      <c r="E8" s="14" t="s">
        <v>370</v>
      </c>
      <c r="F8" s="17" t="s">
        <v>260</v>
      </c>
      <c r="G8" s="17" t="s">
        <v>248</v>
      </c>
      <c r="H8" s="18" t="s">
        <v>278</v>
      </c>
      <c r="M8" s="20"/>
      <c r="N8" s="20"/>
    </row>
    <row r="9" spans="1:14" ht="64" x14ac:dyDescent="0.2">
      <c r="A9" s="17" t="s">
        <v>19</v>
      </c>
      <c r="B9" s="17" t="s">
        <v>22</v>
      </c>
      <c r="C9" s="17" t="s">
        <v>23</v>
      </c>
      <c r="D9" s="17">
        <v>8</v>
      </c>
      <c r="E9" s="14" t="s">
        <v>371</v>
      </c>
      <c r="F9" s="17" t="s">
        <v>260</v>
      </c>
      <c r="G9" s="17" t="s">
        <v>249</v>
      </c>
      <c r="H9" s="18" t="s">
        <v>277</v>
      </c>
      <c r="M9" s="20"/>
      <c r="N9" s="20"/>
    </row>
    <row r="10" spans="1:14" ht="32" x14ac:dyDescent="0.2">
      <c r="A10" s="17" t="s">
        <v>19</v>
      </c>
      <c r="B10" s="17" t="s">
        <v>24</v>
      </c>
      <c r="C10" s="17" t="s">
        <v>25</v>
      </c>
      <c r="D10" s="17">
        <v>3</v>
      </c>
      <c r="E10" s="14" t="s">
        <v>372</v>
      </c>
      <c r="F10" s="17" t="s">
        <v>260</v>
      </c>
      <c r="G10" s="17" t="s">
        <v>250</v>
      </c>
      <c r="H10" s="18" t="s">
        <v>276</v>
      </c>
      <c r="M10" s="20"/>
      <c r="N10" s="20"/>
    </row>
    <row r="11" spans="1:14" ht="96" x14ac:dyDescent="0.2">
      <c r="A11" s="17" t="s">
        <v>19</v>
      </c>
      <c r="B11" s="17" t="s">
        <v>26</v>
      </c>
      <c r="C11" s="17" t="s">
        <v>27</v>
      </c>
      <c r="D11" s="17">
        <v>11</v>
      </c>
      <c r="E11" s="14" t="s">
        <v>373</v>
      </c>
      <c r="F11" s="17" t="s">
        <v>260</v>
      </c>
      <c r="G11" s="17" t="s">
        <v>251</v>
      </c>
      <c r="H11" s="18" t="s">
        <v>275</v>
      </c>
      <c r="M11" s="20"/>
      <c r="N11" s="20"/>
    </row>
    <row r="12" spans="1:14" ht="96" x14ac:dyDescent="0.2">
      <c r="A12" s="17" t="s">
        <v>19</v>
      </c>
      <c r="B12" s="17" t="s">
        <v>28</v>
      </c>
      <c r="C12" s="17" t="s">
        <v>29</v>
      </c>
      <c r="D12" s="17">
        <v>12</v>
      </c>
      <c r="E12" s="14" t="s">
        <v>374</v>
      </c>
      <c r="F12" s="17" t="s">
        <v>260</v>
      </c>
      <c r="G12" s="17" t="s">
        <v>343</v>
      </c>
      <c r="H12" s="18" t="s">
        <v>274</v>
      </c>
      <c r="M12" s="20"/>
      <c r="N12" s="20"/>
    </row>
    <row r="13" spans="1:14" ht="32" x14ac:dyDescent="0.2">
      <c r="A13" s="17" t="s">
        <v>19</v>
      </c>
      <c r="B13" s="17" t="s">
        <v>30</v>
      </c>
      <c r="C13" s="17" t="s">
        <v>31</v>
      </c>
      <c r="D13" s="17">
        <v>3</v>
      </c>
      <c r="E13" s="14" t="s">
        <v>375</v>
      </c>
      <c r="F13" s="17" t="s">
        <v>260</v>
      </c>
      <c r="G13" s="17" t="s">
        <v>252</v>
      </c>
      <c r="H13" s="18" t="s">
        <v>273</v>
      </c>
      <c r="M13" s="20"/>
      <c r="N13" s="20"/>
    </row>
    <row r="14" spans="1:14" ht="32" x14ac:dyDescent="0.2">
      <c r="A14" s="17" t="s">
        <v>19</v>
      </c>
      <c r="B14" s="17" t="s">
        <v>32</v>
      </c>
      <c r="C14" s="17" t="s">
        <v>33</v>
      </c>
      <c r="D14" s="17">
        <v>4</v>
      </c>
      <c r="E14" s="14" t="s">
        <v>376</v>
      </c>
      <c r="F14" s="17" t="s">
        <v>260</v>
      </c>
      <c r="G14" s="17" t="s">
        <v>253</v>
      </c>
      <c r="H14" s="18" t="s">
        <v>272</v>
      </c>
      <c r="M14" s="20"/>
      <c r="N14" s="20"/>
    </row>
    <row r="15" spans="1:14" ht="16" x14ac:dyDescent="0.2">
      <c r="A15" s="17" t="s">
        <v>34</v>
      </c>
      <c r="B15" s="17" t="s">
        <v>35</v>
      </c>
      <c r="C15" s="17" t="s">
        <v>21</v>
      </c>
      <c r="D15" s="17">
        <v>2</v>
      </c>
      <c r="E15" s="14" t="s">
        <v>377</v>
      </c>
      <c r="H15" s="18" t="s">
        <v>326</v>
      </c>
      <c r="I15" s="19">
        <v>0.75570000000000004</v>
      </c>
      <c r="L15" s="18" t="s">
        <v>447</v>
      </c>
      <c r="M15" s="20">
        <v>0.1</v>
      </c>
      <c r="N15" s="20">
        <f>raven_a1_bom[[#This Row],[Qty]]*raven_a1_bom[[#This Row],[alt. 
Price]]</f>
        <v>0.2</v>
      </c>
    </row>
    <row r="16" spans="1:14" ht="16" x14ac:dyDescent="0.2">
      <c r="A16" s="17" t="s">
        <v>34</v>
      </c>
      <c r="B16" s="17" t="s">
        <v>36</v>
      </c>
      <c r="C16" s="17" t="s">
        <v>23</v>
      </c>
      <c r="D16" s="17">
        <v>2</v>
      </c>
      <c r="E16" s="14" t="s">
        <v>378</v>
      </c>
      <c r="H16" s="18" t="s">
        <v>325</v>
      </c>
      <c r="I16" s="19">
        <v>0.75700000000000001</v>
      </c>
      <c r="L16" s="18" t="s">
        <v>448</v>
      </c>
      <c r="M16" s="20">
        <v>0.1</v>
      </c>
      <c r="N16" s="20">
        <f>raven_a1_bom[[#This Row],[Qty]]*raven_a1_bom[[#This Row],[alt. 
Price]]</f>
        <v>0.2</v>
      </c>
    </row>
    <row r="17" spans="1:14" ht="112" x14ac:dyDescent="0.2">
      <c r="A17" s="17" t="s">
        <v>34</v>
      </c>
      <c r="B17" s="17" t="s">
        <v>37</v>
      </c>
      <c r="C17" s="17" t="s">
        <v>27</v>
      </c>
      <c r="D17" s="17">
        <v>13</v>
      </c>
      <c r="E17" s="14" t="s">
        <v>379</v>
      </c>
      <c r="H17" s="18" t="s">
        <v>342</v>
      </c>
      <c r="I17" s="19">
        <v>0.49399999999999999</v>
      </c>
      <c r="L17" s="18" t="s">
        <v>449</v>
      </c>
      <c r="M17" s="20">
        <v>0.1</v>
      </c>
      <c r="N17" s="20">
        <f>raven_a1_bom[[#This Row],[Qty]]*raven_a1_bom[[#This Row],[alt. 
Price]]</f>
        <v>1.3</v>
      </c>
    </row>
    <row r="18" spans="1:14" ht="32" x14ac:dyDescent="0.2">
      <c r="A18" s="17" t="s">
        <v>38</v>
      </c>
      <c r="B18" s="17" t="s">
        <v>39</v>
      </c>
      <c r="C18" s="17" t="s">
        <v>40</v>
      </c>
      <c r="D18" s="17">
        <v>3</v>
      </c>
      <c r="E18" s="14" t="s">
        <v>380</v>
      </c>
      <c r="F18" s="17" t="s">
        <v>260</v>
      </c>
      <c r="G18" s="17" t="s">
        <v>261</v>
      </c>
      <c r="H18" s="18" t="s">
        <v>271</v>
      </c>
      <c r="M18" s="20"/>
      <c r="N18" s="20"/>
    </row>
    <row r="19" spans="1:14" ht="16" x14ac:dyDescent="0.2">
      <c r="A19" s="17" t="s">
        <v>41</v>
      </c>
      <c r="B19" s="17" t="s">
        <v>42</v>
      </c>
      <c r="C19" s="17" t="s">
        <v>43</v>
      </c>
      <c r="D19" s="17">
        <v>1</v>
      </c>
      <c r="E19" s="14" t="s">
        <v>381</v>
      </c>
      <c r="H19" s="18" t="s">
        <v>324</v>
      </c>
      <c r="I19" s="19">
        <v>8.5999999999999993E-2</v>
      </c>
      <c r="J19" s="20">
        <f>raven_a1_bom[[#This Row],[Qty]]*raven_a1_bom[[#This Row],[Mouser 
Unit Price]]</f>
        <v>8.5999999999999993E-2</v>
      </c>
      <c r="K19" s="20">
        <f>raven_a1_bom[[#This Row],[Mouser 
Total Price]]*1.19</f>
        <v>0.10233999999999999</v>
      </c>
      <c r="M19" s="20"/>
      <c r="N19" s="20"/>
    </row>
    <row r="20" spans="1:14" ht="16" x14ac:dyDescent="0.2">
      <c r="A20" s="17" t="s">
        <v>44</v>
      </c>
      <c r="B20" s="17" t="s">
        <v>45</v>
      </c>
      <c r="C20" s="17" t="s">
        <v>46</v>
      </c>
      <c r="D20" s="17">
        <v>1</v>
      </c>
      <c r="E20" s="14" t="s">
        <v>382</v>
      </c>
      <c r="F20" s="17" t="s">
        <v>482</v>
      </c>
      <c r="G20" s="17" t="s">
        <v>478</v>
      </c>
      <c r="H20" s="18" t="s">
        <v>270</v>
      </c>
      <c r="I20" s="19">
        <v>1.04</v>
      </c>
      <c r="L20" s="17" t="s">
        <v>480</v>
      </c>
      <c r="M20" s="20">
        <f>0.84*1.19</f>
        <v>0.99959999999999993</v>
      </c>
      <c r="N20" s="20">
        <f>raven_a1_bom[[#This Row],[Qty]]*raven_a1_bom[[#This Row],[alt. 
Price]]</f>
        <v>0.99959999999999993</v>
      </c>
    </row>
    <row r="21" spans="1:14" ht="16" x14ac:dyDescent="0.2">
      <c r="A21" s="17" t="s">
        <v>47</v>
      </c>
      <c r="B21" s="17" t="s">
        <v>48</v>
      </c>
      <c r="C21" s="17" t="s">
        <v>49</v>
      </c>
      <c r="D21" s="17">
        <v>2</v>
      </c>
      <c r="E21" s="14" t="s">
        <v>383</v>
      </c>
      <c r="H21" s="18" t="s">
        <v>323</v>
      </c>
      <c r="I21" s="19">
        <v>0.112</v>
      </c>
      <c r="M21" s="20"/>
      <c r="N21" s="20"/>
    </row>
    <row r="22" spans="1:14" ht="32" x14ac:dyDescent="0.2">
      <c r="A22" s="17" t="s">
        <v>47</v>
      </c>
      <c r="B22" s="17" t="s">
        <v>50</v>
      </c>
      <c r="C22" s="17" t="s">
        <v>51</v>
      </c>
      <c r="D22" s="17">
        <v>4</v>
      </c>
      <c r="E22" s="14" t="s">
        <v>384</v>
      </c>
      <c r="H22" s="18" t="s">
        <v>322</v>
      </c>
      <c r="I22" s="19">
        <v>0.112</v>
      </c>
      <c r="M22" s="20"/>
      <c r="N22" s="20"/>
    </row>
    <row r="23" spans="1:14" ht="32" x14ac:dyDescent="0.2">
      <c r="A23" s="17" t="s">
        <v>47</v>
      </c>
      <c r="B23" s="17" t="s">
        <v>52</v>
      </c>
      <c r="C23" s="17" t="s">
        <v>53</v>
      </c>
      <c r="D23" s="17">
        <v>3</v>
      </c>
      <c r="E23" s="14" t="s">
        <v>385</v>
      </c>
      <c r="H23" s="18" t="s">
        <v>321</v>
      </c>
      <c r="I23" s="19">
        <v>0.16300000000000001</v>
      </c>
      <c r="M23" s="20"/>
      <c r="N23" s="20"/>
    </row>
    <row r="24" spans="1:14" x14ac:dyDescent="0.2">
      <c r="C24" s="17" t="s">
        <v>461</v>
      </c>
      <c r="D24" s="17">
        <v>1</v>
      </c>
      <c r="H24" s="18"/>
      <c r="L24" s="27" t="s">
        <v>462</v>
      </c>
      <c r="M24" s="20">
        <v>0.6</v>
      </c>
      <c r="N24" s="20">
        <f>raven_a1_bom[[#This Row],[Qty]]*raven_a1_bom[[#This Row],[alt. 
Price]]</f>
        <v>0.6</v>
      </c>
    </row>
    <row r="25" spans="1:14" ht="16" x14ac:dyDescent="0.2">
      <c r="A25" s="17" t="s">
        <v>47</v>
      </c>
      <c r="B25" s="17" t="s">
        <v>54</v>
      </c>
      <c r="C25" s="17" t="s">
        <v>55</v>
      </c>
      <c r="D25" s="17">
        <v>1</v>
      </c>
      <c r="E25" s="14" t="s">
        <v>386</v>
      </c>
      <c r="H25" s="18" t="s">
        <v>320</v>
      </c>
      <c r="I25" s="19">
        <v>0.60199999999999998</v>
      </c>
      <c r="L25" s="18" t="s">
        <v>463</v>
      </c>
      <c r="M25" s="20">
        <v>0.3</v>
      </c>
      <c r="N25" s="20">
        <f>raven_a1_bom[[#This Row],[Qty]]*raven_a1_bom[[#This Row],[alt. 
Price]]</f>
        <v>0.3</v>
      </c>
    </row>
    <row r="26" spans="1:14" ht="16" x14ac:dyDescent="0.2">
      <c r="A26" s="17" t="s">
        <v>47</v>
      </c>
      <c r="B26" s="17" t="s">
        <v>56</v>
      </c>
      <c r="C26" s="17" t="s">
        <v>57</v>
      </c>
      <c r="D26" s="17">
        <v>1</v>
      </c>
      <c r="E26" s="14" t="s">
        <v>387</v>
      </c>
      <c r="H26" s="18" t="s">
        <v>319</v>
      </c>
      <c r="I26" s="19">
        <v>0.94599999999999995</v>
      </c>
      <c r="L26" s="18" t="s">
        <v>464</v>
      </c>
      <c r="M26" s="20">
        <v>0.3</v>
      </c>
      <c r="N26" s="20">
        <f>raven_a1_bom[[#This Row],[Qty]]*raven_a1_bom[[#This Row],[alt. 
Price]]</f>
        <v>0.3</v>
      </c>
    </row>
    <row r="27" spans="1:14" ht="16" x14ac:dyDescent="0.2">
      <c r="A27" s="17" t="s">
        <v>47</v>
      </c>
      <c r="B27" s="17" t="s">
        <v>58</v>
      </c>
      <c r="C27" s="17" t="s">
        <v>59</v>
      </c>
      <c r="D27" s="17">
        <v>1</v>
      </c>
      <c r="E27" s="14" t="s">
        <v>388</v>
      </c>
      <c r="H27" s="18" t="s">
        <v>318</v>
      </c>
      <c r="I27" s="19">
        <v>0.40400000000000003</v>
      </c>
      <c r="L27" s="18" t="s">
        <v>465</v>
      </c>
      <c r="M27" s="20">
        <v>0.15</v>
      </c>
      <c r="N27" s="20">
        <f>raven_a1_bom[[#This Row],[Qty]]*raven_a1_bom[[#This Row],[alt. 
Price]]</f>
        <v>0.15</v>
      </c>
    </row>
    <row r="28" spans="1:14" ht="16" x14ac:dyDescent="0.2">
      <c r="A28" s="17" t="s">
        <v>60</v>
      </c>
      <c r="B28" s="17" t="s">
        <v>61</v>
      </c>
      <c r="C28" s="17" t="s">
        <v>62</v>
      </c>
      <c r="D28" s="17">
        <v>1</v>
      </c>
      <c r="E28" s="14" t="s">
        <v>389</v>
      </c>
      <c r="H28" s="18" t="s">
        <v>317</v>
      </c>
      <c r="I28" s="19">
        <v>0.67900000000000005</v>
      </c>
      <c r="J28" s="20">
        <f>raven_a1_bom[[#This Row],[Qty]]*raven_a1_bom[[#This Row],[Mouser 
Unit Price]]</f>
        <v>0.67900000000000005</v>
      </c>
      <c r="K28" s="20">
        <f>raven_a1_bom[[#This Row],[Mouser 
Total Price]]*1.19</f>
        <v>0.80801000000000001</v>
      </c>
      <c r="M28" s="20"/>
      <c r="N28" s="20"/>
    </row>
    <row r="29" spans="1:14" ht="32" x14ac:dyDescent="0.2">
      <c r="A29" s="17" t="s">
        <v>60</v>
      </c>
      <c r="B29" s="17" t="s">
        <v>63</v>
      </c>
      <c r="C29" s="17" t="s">
        <v>64</v>
      </c>
      <c r="D29" s="17">
        <v>4</v>
      </c>
      <c r="E29" s="14" t="s">
        <v>390</v>
      </c>
      <c r="H29" s="18" t="s">
        <v>316</v>
      </c>
      <c r="I29" s="19">
        <v>5.27</v>
      </c>
      <c r="J29" s="20">
        <f>raven_a1_bom[[#This Row],[Qty]]*raven_a1_bom[[#This Row],[Mouser 
Unit Price]]</f>
        <v>21.08</v>
      </c>
      <c r="K29" s="20">
        <f>raven_a1_bom[[#This Row],[Mouser 
Total Price]]*1.19</f>
        <v>25.085199999999997</v>
      </c>
      <c r="M29" s="20"/>
      <c r="N29" s="20"/>
    </row>
    <row r="30" spans="1:14" ht="32" x14ac:dyDescent="0.2">
      <c r="A30" s="17" t="s">
        <v>60</v>
      </c>
      <c r="B30" s="17" t="s">
        <v>65</v>
      </c>
      <c r="C30" s="17" t="s">
        <v>66</v>
      </c>
      <c r="D30" s="17">
        <v>4</v>
      </c>
      <c r="E30" s="14" t="s">
        <v>391</v>
      </c>
      <c r="H30" s="18" t="s">
        <v>315</v>
      </c>
      <c r="I30" s="19">
        <v>4.93</v>
      </c>
      <c r="J30" s="20">
        <f>raven_a1_bom[[#This Row],[Qty]]*raven_a1_bom[[#This Row],[Mouser 
Unit Price]]</f>
        <v>19.72</v>
      </c>
      <c r="K30" s="20">
        <f>raven_a1_bom[[#This Row],[Mouser 
Total Price]]*1.19</f>
        <v>23.466799999999999</v>
      </c>
      <c r="M30" s="20"/>
      <c r="N30" s="20"/>
    </row>
    <row r="31" spans="1:14" ht="16" x14ac:dyDescent="0.2">
      <c r="A31" s="17" t="s">
        <v>67</v>
      </c>
      <c r="B31" s="17" t="s">
        <v>68</v>
      </c>
      <c r="C31" s="17" t="s">
        <v>69</v>
      </c>
      <c r="D31" s="17">
        <v>1</v>
      </c>
      <c r="E31" s="14" t="s">
        <v>392</v>
      </c>
      <c r="H31" s="18" t="s">
        <v>314</v>
      </c>
      <c r="I31" s="19">
        <v>3.66</v>
      </c>
      <c r="L31" s="18" t="s">
        <v>450</v>
      </c>
      <c r="M31" s="20">
        <v>0.94</v>
      </c>
      <c r="N31" s="20">
        <f>raven_a1_bom[[#This Row],[Qty]]*raven_a1_bom[[#This Row],[alt. 
Price]]</f>
        <v>0.94</v>
      </c>
    </row>
    <row r="32" spans="1:14" ht="32" x14ac:dyDescent="0.2">
      <c r="A32" s="17" t="s">
        <v>67</v>
      </c>
      <c r="B32" s="17" t="s">
        <v>70</v>
      </c>
      <c r="C32" s="17" t="s">
        <v>71</v>
      </c>
      <c r="D32" s="17">
        <v>4</v>
      </c>
      <c r="E32" s="14" t="s">
        <v>393</v>
      </c>
      <c r="H32" s="18" t="s">
        <v>313</v>
      </c>
      <c r="I32" s="19">
        <v>0.50700000000000001</v>
      </c>
      <c r="L32" s="18" t="s">
        <v>451</v>
      </c>
      <c r="M32" s="20">
        <v>0.27</v>
      </c>
      <c r="N32" s="20">
        <f>raven_a1_bom[[#This Row],[Qty]]*raven_a1_bom[[#This Row],[alt. 
Price]]</f>
        <v>1.08</v>
      </c>
    </row>
    <row r="33" spans="1:14" ht="16" x14ac:dyDescent="0.2">
      <c r="A33" s="17" t="s">
        <v>72</v>
      </c>
      <c r="B33" s="17" t="s">
        <v>73</v>
      </c>
      <c r="C33" s="17" t="s">
        <v>74</v>
      </c>
      <c r="D33" s="17">
        <v>1</v>
      </c>
      <c r="E33" s="14" t="s">
        <v>394</v>
      </c>
      <c r="H33" s="18" t="s">
        <v>312</v>
      </c>
      <c r="I33" s="19">
        <v>1.68</v>
      </c>
      <c r="J33" s="20">
        <f>raven_a1_bom[[#This Row],[Qty]]*raven_a1_bom[[#This Row],[Mouser 
Unit Price]]</f>
        <v>1.68</v>
      </c>
      <c r="K33" s="20">
        <f>raven_a1_bom[[#This Row],[Mouser 
Total Price]]*1.19</f>
        <v>1.9991999999999999</v>
      </c>
      <c r="M33" s="20"/>
      <c r="N33" s="20"/>
    </row>
    <row r="34" spans="1:14" ht="16" x14ac:dyDescent="0.2">
      <c r="A34" s="17" t="s">
        <v>75</v>
      </c>
      <c r="B34" s="17" t="s">
        <v>76</v>
      </c>
      <c r="C34" s="17" t="s">
        <v>77</v>
      </c>
      <c r="D34" s="17">
        <v>1</v>
      </c>
      <c r="E34" s="14" t="s">
        <v>395</v>
      </c>
      <c r="H34" s="18" t="s">
        <v>311</v>
      </c>
      <c r="I34" s="19">
        <v>5.46</v>
      </c>
      <c r="J34" s="20">
        <f>raven_a1_bom[[#This Row],[Qty]]*raven_a1_bom[[#This Row],[Mouser 
Unit Price]]</f>
        <v>5.46</v>
      </c>
      <c r="K34" s="20">
        <f>raven_a1_bom[[#This Row],[Mouser 
Total Price]]*1.19</f>
        <v>6.4973999999999998</v>
      </c>
      <c r="M34" s="20"/>
      <c r="N34" s="20"/>
    </row>
    <row r="35" spans="1:14" ht="16" x14ac:dyDescent="0.2">
      <c r="A35" s="17" t="s">
        <v>78</v>
      </c>
      <c r="B35" s="17" t="s">
        <v>79</v>
      </c>
      <c r="C35" s="17" t="s">
        <v>80</v>
      </c>
      <c r="D35" s="17">
        <v>1</v>
      </c>
      <c r="E35" s="14" t="s">
        <v>396</v>
      </c>
      <c r="H35" s="18" t="s">
        <v>310</v>
      </c>
      <c r="I35" s="19">
        <v>2.0499999999999998</v>
      </c>
      <c r="J35" s="20">
        <f>raven_a1_bom[[#This Row],[Qty]]*raven_a1_bom[[#This Row],[Mouser 
Unit Price]]</f>
        <v>2.0499999999999998</v>
      </c>
      <c r="K35" s="20">
        <f>raven_a1_bom[[#This Row],[Mouser 
Total Price]]*1.19</f>
        <v>2.4394999999999998</v>
      </c>
      <c r="M35" s="20"/>
      <c r="N35" s="20"/>
    </row>
    <row r="36" spans="1:14" ht="16" x14ac:dyDescent="0.2">
      <c r="A36" s="17" t="s">
        <v>78</v>
      </c>
      <c r="B36" s="17" t="s">
        <v>81</v>
      </c>
      <c r="C36" s="17" t="s">
        <v>82</v>
      </c>
      <c r="D36" s="17">
        <v>1</v>
      </c>
      <c r="E36" s="14" t="s">
        <v>397</v>
      </c>
      <c r="H36" s="18" t="s">
        <v>309</v>
      </c>
      <c r="I36" s="19">
        <v>10.06</v>
      </c>
      <c r="J36" s="20">
        <f>raven_a1_bom[[#This Row],[Qty]]*raven_a1_bom[[#This Row],[Mouser 
Unit Price]]</f>
        <v>10.06</v>
      </c>
      <c r="K36" s="20">
        <f>raven_a1_bom[[#This Row],[Mouser 
Total Price]]*1.19</f>
        <v>11.971400000000001</v>
      </c>
      <c r="M36" s="20"/>
      <c r="N36" s="20"/>
    </row>
    <row r="37" spans="1:14" ht="16" x14ac:dyDescent="0.2">
      <c r="A37" s="17" t="s">
        <v>78</v>
      </c>
      <c r="B37" s="17" t="s">
        <v>83</v>
      </c>
      <c r="C37" s="17" t="s">
        <v>84</v>
      </c>
      <c r="D37" s="17">
        <v>1</v>
      </c>
      <c r="E37" s="14" t="s">
        <v>398</v>
      </c>
      <c r="H37" s="18" t="s">
        <v>308</v>
      </c>
      <c r="I37" s="19">
        <v>2.73</v>
      </c>
      <c r="J37" s="20">
        <f>raven_a1_bom[[#This Row],[Qty]]*raven_a1_bom[[#This Row],[Mouser 
Unit Price]]</f>
        <v>2.73</v>
      </c>
      <c r="K37" s="20">
        <f>raven_a1_bom[[#This Row],[Mouser 
Total Price]]*1.19</f>
        <v>3.2486999999999999</v>
      </c>
      <c r="M37" s="20"/>
      <c r="N37" s="20"/>
    </row>
    <row r="38" spans="1:14" ht="16" x14ac:dyDescent="0.2">
      <c r="A38" s="17" t="s">
        <v>60</v>
      </c>
      <c r="B38" s="17" t="s">
        <v>85</v>
      </c>
      <c r="C38" s="17" t="s">
        <v>86</v>
      </c>
      <c r="D38" s="17">
        <v>2</v>
      </c>
      <c r="E38" s="14" t="s">
        <v>416</v>
      </c>
      <c r="H38" s="18" t="s">
        <v>307</v>
      </c>
      <c r="I38" s="19">
        <v>0.61899999999999999</v>
      </c>
      <c r="L38" s="18" t="s">
        <v>452</v>
      </c>
      <c r="M38" s="20">
        <v>0.12</v>
      </c>
      <c r="N38" s="20">
        <f>raven_a1_bom[[#This Row],[Qty]]*raven_a1_bom[[#This Row],[alt. 
Price]]</f>
        <v>0.24</v>
      </c>
    </row>
    <row r="39" spans="1:14" x14ac:dyDescent="0.2">
      <c r="A39" s="17" t="s">
        <v>60</v>
      </c>
      <c r="B39" s="17" t="s">
        <v>87</v>
      </c>
      <c r="C39" s="17" t="s">
        <v>88</v>
      </c>
      <c r="D39" s="17">
        <v>1</v>
      </c>
      <c r="H39" s="18" t="s">
        <v>306</v>
      </c>
      <c r="I39" s="19">
        <v>0.53300000000000003</v>
      </c>
      <c r="L39" s="18" t="s">
        <v>453</v>
      </c>
      <c r="M39" s="20">
        <v>0.14000000000000001</v>
      </c>
      <c r="N39" s="20">
        <f>raven_a1_bom[[#This Row],[Qty]]*raven_a1_bom[[#This Row],[alt. 
Price]]</f>
        <v>0.14000000000000001</v>
      </c>
    </row>
    <row r="40" spans="1:14" ht="16" x14ac:dyDescent="0.2">
      <c r="A40" s="17" t="s">
        <v>89</v>
      </c>
      <c r="B40" s="17" t="s">
        <v>90</v>
      </c>
      <c r="C40" s="17" t="s">
        <v>91</v>
      </c>
      <c r="D40" s="17">
        <v>1</v>
      </c>
      <c r="E40" s="14" t="s">
        <v>417</v>
      </c>
      <c r="H40" s="18" t="s">
        <v>305</v>
      </c>
      <c r="I40" s="19">
        <v>0.80800000000000005</v>
      </c>
      <c r="L40" s="18" t="s">
        <v>454</v>
      </c>
      <c r="M40" s="20">
        <v>0.18</v>
      </c>
      <c r="N40" s="20">
        <f>raven_a1_bom[[#This Row],[Qty]]*raven_a1_bom[[#This Row],[alt. 
Price]]</f>
        <v>0.18</v>
      </c>
    </row>
    <row r="41" spans="1:14" ht="16" x14ac:dyDescent="0.2">
      <c r="A41" s="17" t="s">
        <v>89</v>
      </c>
      <c r="B41" s="17" t="s">
        <v>92</v>
      </c>
      <c r="C41" s="17" t="s">
        <v>93</v>
      </c>
      <c r="D41" s="17">
        <v>2</v>
      </c>
      <c r="E41" s="14" t="s">
        <v>415</v>
      </c>
      <c r="H41" s="18" t="s">
        <v>304</v>
      </c>
      <c r="I41" s="19">
        <v>1.0900000000000001</v>
      </c>
      <c r="J41" s="20">
        <f>raven_a1_bom[[#This Row],[Qty]]*raven_a1_bom[[#This Row],[Mouser 
Unit Price]]</f>
        <v>2.1800000000000002</v>
      </c>
      <c r="K41" s="20">
        <f>raven_a1_bom[[#This Row],[Mouser 
Total Price]]*1.19</f>
        <v>2.5942000000000003</v>
      </c>
      <c r="M41" s="20"/>
      <c r="N41" s="20"/>
    </row>
    <row r="42" spans="1:14" x14ac:dyDescent="0.2">
      <c r="A42" s="17" t="s">
        <v>94</v>
      </c>
      <c r="B42" s="17" t="s">
        <v>95</v>
      </c>
      <c r="C42" s="17" t="s">
        <v>96</v>
      </c>
      <c r="D42" s="17">
        <v>1</v>
      </c>
      <c r="H42" s="18" t="s">
        <v>303</v>
      </c>
      <c r="I42" s="19">
        <v>2.96</v>
      </c>
      <c r="L42" s="18" t="s">
        <v>455</v>
      </c>
      <c r="M42" s="20">
        <v>0.82</v>
      </c>
      <c r="N42" s="20">
        <f>raven_a1_bom[[#This Row],[Qty]]*raven_a1_bom[[#This Row],[alt. 
Price]]</f>
        <v>0.82</v>
      </c>
    </row>
    <row r="43" spans="1:14" ht="16" x14ac:dyDescent="0.2">
      <c r="A43" s="17" t="s">
        <v>94</v>
      </c>
      <c r="B43" s="17" t="s">
        <v>97</v>
      </c>
      <c r="C43" s="17" t="s">
        <v>98</v>
      </c>
      <c r="D43" s="17">
        <v>1</v>
      </c>
      <c r="E43" s="14" t="s">
        <v>407</v>
      </c>
      <c r="H43" s="18" t="s">
        <v>302</v>
      </c>
      <c r="I43" s="19">
        <v>3.54</v>
      </c>
      <c r="L43" s="18" t="s">
        <v>456</v>
      </c>
      <c r="M43" s="20">
        <v>0.93</v>
      </c>
      <c r="N43" s="20">
        <f>raven_a1_bom[[#This Row],[Qty]]*raven_a1_bom[[#This Row],[alt. 
Price]]</f>
        <v>0.93</v>
      </c>
    </row>
    <row r="44" spans="1:14" x14ac:dyDescent="0.2">
      <c r="A44" s="17" t="s">
        <v>99</v>
      </c>
      <c r="B44" s="17" t="s">
        <v>100</v>
      </c>
      <c r="C44" s="17" t="s">
        <v>101</v>
      </c>
      <c r="D44" s="17">
        <v>1</v>
      </c>
      <c r="H44" s="18" t="s">
        <v>301</v>
      </c>
      <c r="I44" s="19">
        <v>0.75700000000000001</v>
      </c>
      <c r="J44" s="20">
        <f>raven_a1_bom[[#This Row],[Qty]]*raven_a1_bom[[#This Row],[Mouser 
Unit Price]]</f>
        <v>0.75700000000000001</v>
      </c>
      <c r="K44" s="20">
        <f>raven_a1_bom[[#This Row],[Mouser 
Total Price]]*1.19</f>
        <v>0.90083000000000002</v>
      </c>
      <c r="M44" s="20"/>
      <c r="N44" s="20"/>
    </row>
    <row r="45" spans="1:14" x14ac:dyDescent="0.2">
      <c r="A45" s="17" t="s">
        <v>60</v>
      </c>
      <c r="B45" s="17" t="s">
        <v>102</v>
      </c>
      <c r="C45" s="17" t="s">
        <v>103</v>
      </c>
      <c r="D45" s="17">
        <v>8</v>
      </c>
      <c r="H45" s="18" t="s">
        <v>300</v>
      </c>
      <c r="I45" s="19">
        <v>0.215</v>
      </c>
      <c r="L45" s="18" t="s">
        <v>457</v>
      </c>
      <c r="M45" s="20">
        <v>0.02</v>
      </c>
      <c r="N45" s="20">
        <f>raven_a1_bom[[#This Row],[Qty]]*raven_a1_bom[[#This Row],[alt. 
Price]]</f>
        <v>0.16</v>
      </c>
    </row>
    <row r="46" spans="1:14" ht="48" x14ac:dyDescent="0.2">
      <c r="A46" s="17" t="s">
        <v>104</v>
      </c>
      <c r="B46" s="17" t="s">
        <v>105</v>
      </c>
      <c r="C46" s="17" t="s">
        <v>106</v>
      </c>
      <c r="D46" s="17">
        <v>3</v>
      </c>
      <c r="E46" s="14" t="s">
        <v>427</v>
      </c>
      <c r="H46" s="18" t="s">
        <v>299</v>
      </c>
      <c r="I46" s="19">
        <v>0.25900000000000001</v>
      </c>
      <c r="J46" s="20">
        <f>raven_a1_bom[[#This Row],[Qty]]*raven_a1_bom[[#This Row],[Mouser 
Unit Price]]</f>
        <v>0.77700000000000002</v>
      </c>
      <c r="K46" s="20">
        <f>raven_a1_bom[[#This Row],[Mouser 
Total Price]]*1.19</f>
        <v>0.92462999999999995</v>
      </c>
      <c r="M46" s="20"/>
      <c r="N46" s="20"/>
    </row>
    <row r="47" spans="1:14" ht="16" x14ac:dyDescent="0.2">
      <c r="A47" s="17" t="s">
        <v>107</v>
      </c>
      <c r="B47" s="17" t="s">
        <v>108</v>
      </c>
      <c r="C47" s="17" t="s">
        <v>109</v>
      </c>
      <c r="D47" s="17">
        <v>1</v>
      </c>
      <c r="E47" s="14" t="s">
        <v>420</v>
      </c>
      <c r="F47" s="17" t="s">
        <v>260</v>
      </c>
      <c r="G47" s="17" t="s">
        <v>254</v>
      </c>
      <c r="H47" s="18" t="s">
        <v>269</v>
      </c>
      <c r="M47" s="20"/>
      <c r="N47" s="20"/>
    </row>
    <row r="48" spans="1:14" ht="16" x14ac:dyDescent="0.2">
      <c r="A48" s="17" t="s">
        <v>107</v>
      </c>
      <c r="B48" s="17" t="s">
        <v>110</v>
      </c>
      <c r="C48" s="17" t="s">
        <v>111</v>
      </c>
      <c r="D48" s="17">
        <v>1</v>
      </c>
      <c r="E48" s="14" t="s">
        <v>399</v>
      </c>
      <c r="F48" s="17" t="s">
        <v>260</v>
      </c>
      <c r="G48" s="17" t="s">
        <v>255</v>
      </c>
      <c r="H48" s="18" t="s">
        <v>268</v>
      </c>
      <c r="M48" s="20"/>
      <c r="N48" s="20"/>
    </row>
    <row r="49" spans="1:14" ht="16" x14ac:dyDescent="0.2">
      <c r="A49" s="17" t="s">
        <v>107</v>
      </c>
      <c r="B49" s="17" t="s">
        <v>112</v>
      </c>
      <c r="C49" s="17" t="s">
        <v>113</v>
      </c>
      <c r="D49" s="17">
        <v>1</v>
      </c>
      <c r="E49" s="14" t="s">
        <v>404</v>
      </c>
      <c r="F49" s="17" t="s">
        <v>482</v>
      </c>
      <c r="G49" s="17" t="s">
        <v>477</v>
      </c>
      <c r="H49" s="18" t="s">
        <v>267</v>
      </c>
      <c r="I49" s="19">
        <v>0.34399999999999997</v>
      </c>
      <c r="L49" s="17" t="s">
        <v>480</v>
      </c>
      <c r="M49" s="20">
        <f>1.0979*1.19</f>
        <v>1.3065010000000001</v>
      </c>
      <c r="N49" s="20">
        <f>raven_a1_bom[[#This Row],[Qty]]*raven_a1_bom[[#This Row],[alt. 
Price]]</f>
        <v>1.3065010000000001</v>
      </c>
    </row>
    <row r="50" spans="1:14" ht="16" x14ac:dyDescent="0.2">
      <c r="A50" s="17" t="s">
        <v>114</v>
      </c>
      <c r="B50" s="17" t="s">
        <v>115</v>
      </c>
      <c r="C50" s="17" t="s">
        <v>116</v>
      </c>
      <c r="D50" s="17">
        <v>1</v>
      </c>
      <c r="E50" s="14" t="s">
        <v>400</v>
      </c>
      <c r="F50" s="17" t="s">
        <v>482</v>
      </c>
      <c r="G50" s="17" t="s">
        <v>476</v>
      </c>
      <c r="H50" s="18" t="s">
        <v>266</v>
      </c>
      <c r="I50" s="19">
        <v>0.28399999999999997</v>
      </c>
      <c r="L50" s="17" t="s">
        <v>480</v>
      </c>
      <c r="M50" s="20">
        <f>7.2/5*1.19</f>
        <v>1.7135999999999998</v>
      </c>
      <c r="N50" s="20">
        <f>raven_a1_bom[[#This Row],[Qty]]*raven_a1_bom[[#This Row],[alt. 
Price]]</f>
        <v>1.7135999999999998</v>
      </c>
    </row>
    <row r="51" spans="1:14" ht="17" customHeight="1" x14ac:dyDescent="0.2">
      <c r="A51" s="17" t="s">
        <v>114</v>
      </c>
      <c r="B51" s="17" t="s">
        <v>117</v>
      </c>
      <c r="C51" s="17" t="s">
        <v>118</v>
      </c>
      <c r="D51" s="17">
        <v>2</v>
      </c>
      <c r="E51" s="14" t="s">
        <v>402</v>
      </c>
      <c r="F51" s="17" t="s">
        <v>482</v>
      </c>
      <c r="G51" s="17" t="s">
        <v>256</v>
      </c>
      <c r="H51" s="21" t="s">
        <v>283</v>
      </c>
      <c r="I51" s="19">
        <v>0.73099999999999998</v>
      </c>
      <c r="L51" s="17" t="s">
        <v>480</v>
      </c>
      <c r="M51" s="20">
        <f>1.0581*1.19</f>
        <v>1.259139</v>
      </c>
      <c r="N51" s="20">
        <f>raven_a1_bom[[#This Row],[Qty]]*raven_a1_bom[[#This Row],[alt. 
Price]]</f>
        <v>2.518278</v>
      </c>
    </row>
    <row r="52" spans="1:14" ht="16" x14ac:dyDescent="0.2">
      <c r="A52" s="17" t="s">
        <v>119</v>
      </c>
      <c r="B52" s="17" t="s">
        <v>120</v>
      </c>
      <c r="C52" s="17" t="s">
        <v>121</v>
      </c>
      <c r="D52" s="17">
        <v>1</v>
      </c>
      <c r="E52" s="14" t="s">
        <v>407</v>
      </c>
      <c r="H52" s="18" t="s">
        <v>298</v>
      </c>
      <c r="I52" s="19">
        <v>11.99</v>
      </c>
      <c r="J52" s="20">
        <f>raven_a1_bom[[#This Row],[Qty]]*raven_a1_bom[[#This Row],[Mouser 
Unit Price]]</f>
        <v>11.99</v>
      </c>
      <c r="K52" s="20">
        <f>raven_a1_bom[[#This Row],[Mouser 
Total Price]]*1.19</f>
        <v>14.2681</v>
      </c>
      <c r="M52" s="20"/>
      <c r="N52" s="20"/>
    </row>
    <row r="53" spans="1:14" ht="16" x14ac:dyDescent="0.2">
      <c r="A53" s="17" t="s">
        <v>119</v>
      </c>
      <c r="B53" s="17" t="s">
        <v>122</v>
      </c>
      <c r="C53" s="17" t="s">
        <v>123</v>
      </c>
      <c r="D53" s="17">
        <v>2</v>
      </c>
      <c r="E53" s="14" t="s">
        <v>416</v>
      </c>
      <c r="H53" s="18" t="s">
        <v>297</v>
      </c>
      <c r="I53" s="19">
        <v>2.2599999999999998</v>
      </c>
      <c r="J53" s="20">
        <f>raven_a1_bom[[#This Row],[Qty]]*raven_a1_bom[[#This Row],[Mouser 
Unit Price]]</f>
        <v>4.5199999999999996</v>
      </c>
      <c r="K53" s="20">
        <f>raven_a1_bom[[#This Row],[Mouser 
Total Price]]*1.19</f>
        <v>5.3787999999999991</v>
      </c>
      <c r="M53" s="20"/>
      <c r="N53" s="20"/>
    </row>
    <row r="54" spans="1:14" ht="16" x14ac:dyDescent="0.2">
      <c r="A54" s="17" t="s">
        <v>119</v>
      </c>
      <c r="B54" s="17" t="s">
        <v>124</v>
      </c>
      <c r="C54" s="17" t="s">
        <v>125</v>
      </c>
      <c r="D54" s="17">
        <v>1</v>
      </c>
      <c r="E54" s="14" t="s">
        <v>410</v>
      </c>
      <c r="H54" s="18" t="s">
        <v>296</v>
      </c>
      <c r="I54" s="19">
        <v>5.58</v>
      </c>
      <c r="J54" s="20">
        <f>raven_a1_bom[[#This Row],[Qty]]*raven_a1_bom[[#This Row],[Mouser 
Unit Price]]</f>
        <v>5.58</v>
      </c>
      <c r="K54" s="20">
        <f>raven_a1_bom[[#This Row],[Mouser 
Total Price]]*1.19</f>
        <v>6.6402000000000001</v>
      </c>
      <c r="M54" s="20"/>
      <c r="N54" s="20"/>
    </row>
    <row r="55" spans="1:14" ht="16" x14ac:dyDescent="0.2">
      <c r="A55" s="17" t="s">
        <v>126</v>
      </c>
      <c r="B55" s="17" t="s">
        <v>127</v>
      </c>
      <c r="C55" s="17" t="s">
        <v>128</v>
      </c>
      <c r="D55" s="17">
        <v>2</v>
      </c>
      <c r="E55" s="14" t="s">
        <v>414</v>
      </c>
      <c r="F55" s="17" t="s">
        <v>482</v>
      </c>
      <c r="G55" s="17" t="s">
        <v>479</v>
      </c>
      <c r="H55" s="18" t="s">
        <v>295</v>
      </c>
      <c r="I55" s="19">
        <v>5.17</v>
      </c>
      <c r="L55" s="17" t="s">
        <v>480</v>
      </c>
      <c r="M55" s="20">
        <f>2.8087*1.19</f>
        <v>3.3423529999999997</v>
      </c>
      <c r="N55" s="20">
        <f>raven_a1_bom[[#This Row],[Qty]]*raven_a1_bom[[#This Row],[alt. 
Price]]</f>
        <v>6.6847059999999994</v>
      </c>
    </row>
    <row r="56" spans="1:14" ht="16" x14ac:dyDescent="0.2">
      <c r="A56" s="17" t="s">
        <v>126</v>
      </c>
      <c r="B56" s="17" t="s">
        <v>129</v>
      </c>
      <c r="C56" s="17" t="s">
        <v>130</v>
      </c>
      <c r="D56" s="17">
        <v>1</v>
      </c>
      <c r="E56" s="14" t="s">
        <v>401</v>
      </c>
      <c r="F56" s="17" t="s">
        <v>260</v>
      </c>
      <c r="G56" s="17" t="s">
        <v>257</v>
      </c>
      <c r="H56" s="18" t="s">
        <v>265</v>
      </c>
      <c r="M56" s="20"/>
      <c r="N56" s="20"/>
    </row>
    <row r="57" spans="1:14" ht="16" x14ac:dyDescent="0.2">
      <c r="A57" s="17" t="s">
        <v>126</v>
      </c>
      <c r="B57" s="17" t="s">
        <v>131</v>
      </c>
      <c r="C57" s="17" t="s">
        <v>132</v>
      </c>
      <c r="D57" s="17">
        <v>1</v>
      </c>
      <c r="E57" s="14" t="s">
        <v>409</v>
      </c>
      <c r="H57" s="18" t="s">
        <v>294</v>
      </c>
      <c r="I57" s="19">
        <v>3.33</v>
      </c>
      <c r="J57" s="20">
        <f>raven_a1_bom[[#This Row],[Qty]]*raven_a1_bom[[#This Row],[Mouser 
Unit Price]]</f>
        <v>3.33</v>
      </c>
      <c r="K57" s="20">
        <f>raven_a1_bom[[#This Row],[Mouser 
Total Price]]*1.19</f>
        <v>3.9626999999999999</v>
      </c>
      <c r="M57" s="20"/>
      <c r="N57" s="20"/>
    </row>
    <row r="58" spans="1:14" ht="16" x14ac:dyDescent="0.2">
      <c r="A58" s="17" t="s">
        <v>126</v>
      </c>
      <c r="B58" s="17" t="s">
        <v>133</v>
      </c>
      <c r="C58" s="17" t="s">
        <v>134</v>
      </c>
      <c r="D58" s="17">
        <v>1</v>
      </c>
      <c r="E58" s="14" t="s">
        <v>418</v>
      </c>
      <c r="H58" s="18" t="s">
        <v>264</v>
      </c>
      <c r="I58" s="19">
        <v>4</v>
      </c>
      <c r="L58" s="18" t="s">
        <v>458</v>
      </c>
      <c r="M58" s="20">
        <v>1.45</v>
      </c>
      <c r="N58" s="20">
        <f>raven_a1_bom[[#This Row],[Qty]]*raven_a1_bom[[#This Row],[alt. 
Price]]</f>
        <v>1.45</v>
      </c>
    </row>
    <row r="59" spans="1:14" ht="16" x14ac:dyDescent="0.2">
      <c r="A59" s="17" t="s">
        <v>107</v>
      </c>
      <c r="B59" s="17" t="s">
        <v>135</v>
      </c>
      <c r="C59" s="17" t="s">
        <v>136</v>
      </c>
      <c r="D59" s="17">
        <v>1</v>
      </c>
      <c r="E59" s="14" t="s">
        <v>412</v>
      </c>
      <c r="F59" s="17" t="s">
        <v>260</v>
      </c>
      <c r="G59" s="17" t="s">
        <v>258</v>
      </c>
      <c r="H59" s="18" t="s">
        <v>263</v>
      </c>
      <c r="M59" s="20"/>
      <c r="N59" s="20"/>
    </row>
    <row r="60" spans="1:14" ht="16" x14ac:dyDescent="0.2">
      <c r="A60" s="17" t="s">
        <v>107</v>
      </c>
      <c r="B60" s="17" t="s">
        <v>137</v>
      </c>
      <c r="C60" s="17" t="s">
        <v>138</v>
      </c>
      <c r="D60" s="17">
        <v>1</v>
      </c>
      <c r="E60" s="14" t="s">
        <v>408</v>
      </c>
      <c r="H60" s="18" t="s">
        <v>293</v>
      </c>
      <c r="I60" s="19">
        <v>1.32</v>
      </c>
      <c r="L60" s="18" t="s">
        <v>459</v>
      </c>
      <c r="M60" s="20">
        <v>0.3</v>
      </c>
      <c r="N60" s="20">
        <f>raven_a1_bom[[#This Row],[Qty]]*raven_a1_bom[[#This Row],[alt. 
Price]]</f>
        <v>0.3</v>
      </c>
    </row>
    <row r="61" spans="1:14" ht="16" x14ac:dyDescent="0.2">
      <c r="A61" s="17" t="s">
        <v>139</v>
      </c>
      <c r="B61" s="17" t="s">
        <v>140</v>
      </c>
      <c r="C61" s="17" t="s">
        <v>141</v>
      </c>
      <c r="D61" s="17">
        <v>1</v>
      </c>
      <c r="E61" s="14" t="s">
        <v>405</v>
      </c>
      <c r="F61" s="17" t="s">
        <v>260</v>
      </c>
      <c r="G61" s="17" t="s">
        <v>259</v>
      </c>
      <c r="H61" s="18" t="s">
        <v>262</v>
      </c>
      <c r="M61" s="20"/>
      <c r="N61" s="20"/>
    </row>
    <row r="62" spans="1:14" ht="16" x14ac:dyDescent="0.2">
      <c r="A62" s="17" t="s">
        <v>142</v>
      </c>
      <c r="B62" s="17" t="s">
        <v>143</v>
      </c>
      <c r="C62" s="17" t="s">
        <v>144</v>
      </c>
      <c r="D62" s="17">
        <v>1</v>
      </c>
      <c r="E62" s="14" t="s">
        <v>413</v>
      </c>
      <c r="H62" s="18" t="s">
        <v>292</v>
      </c>
      <c r="L62" s="22" t="s">
        <v>344</v>
      </c>
      <c r="M62" s="20">
        <v>21.93</v>
      </c>
      <c r="N62" s="20">
        <f>raven_a1_bom[[#This Row],[Qty]]*raven_a1_bom[[#This Row],[alt. 
Price]]</f>
        <v>21.93</v>
      </c>
    </row>
    <row r="63" spans="1:14" ht="16" x14ac:dyDescent="0.2">
      <c r="A63" s="17" t="s">
        <v>145</v>
      </c>
      <c r="B63" s="17" t="s">
        <v>146</v>
      </c>
      <c r="C63" s="17" t="s">
        <v>147</v>
      </c>
      <c r="D63" s="17">
        <v>1</v>
      </c>
      <c r="E63" s="14" t="s">
        <v>419</v>
      </c>
      <c r="H63" s="18" t="s">
        <v>291</v>
      </c>
      <c r="I63" s="19">
        <v>0.46400000000000002</v>
      </c>
      <c r="L63" s="18" t="s">
        <v>460</v>
      </c>
      <c r="M63" s="20">
        <v>0.18</v>
      </c>
      <c r="N63" s="20">
        <f>raven_a1_bom[[#This Row],[Qty]]*raven_a1_bom[[#This Row],[alt. 
Price]]</f>
        <v>0.18</v>
      </c>
    </row>
    <row r="64" spans="1:14" ht="16" x14ac:dyDescent="0.2">
      <c r="A64" s="17" t="s">
        <v>145</v>
      </c>
      <c r="B64" s="17" t="s">
        <v>148</v>
      </c>
      <c r="C64" s="17" t="s">
        <v>149</v>
      </c>
      <c r="D64" s="17">
        <v>1</v>
      </c>
      <c r="E64" s="14" t="s">
        <v>411</v>
      </c>
      <c r="H64" s="18" t="s">
        <v>290</v>
      </c>
      <c r="I64" s="19">
        <v>0.8</v>
      </c>
      <c r="J64" s="20">
        <f>raven_a1_bom[[#This Row],[Qty]]*raven_a1_bom[[#This Row],[Mouser 
Unit Price]]</f>
        <v>0.8</v>
      </c>
      <c r="K64" s="20">
        <f>raven_a1_bom[[#This Row],[Mouser 
Total Price]]*1.19</f>
        <v>0.95199999999999996</v>
      </c>
      <c r="M64" s="20"/>
      <c r="N64" s="20"/>
    </row>
    <row r="65" spans="1:14" ht="16" x14ac:dyDescent="0.2">
      <c r="A65" s="17" t="s">
        <v>150</v>
      </c>
      <c r="B65" s="17" t="s">
        <v>151</v>
      </c>
      <c r="C65" s="17" t="s">
        <v>152</v>
      </c>
      <c r="D65" s="17">
        <v>1</v>
      </c>
      <c r="E65" s="14" t="s">
        <v>421</v>
      </c>
      <c r="F65" s="17" t="s">
        <v>483</v>
      </c>
      <c r="H65" s="18" t="s">
        <v>289</v>
      </c>
      <c r="I65" s="19">
        <v>4.2300000000000004</v>
      </c>
      <c r="J65" s="20">
        <f>raven_a1_bom[[#This Row],[Qty]]*raven_a1_bom[[#This Row],[Mouser 
Unit Price]]</f>
        <v>4.2300000000000004</v>
      </c>
      <c r="K65" s="20">
        <f>raven_a1_bom[[#This Row],[Mouser 
Total Price]]*1.19</f>
        <v>5.0337000000000005</v>
      </c>
      <c r="M65" s="20"/>
      <c r="N65" s="20"/>
    </row>
    <row r="66" spans="1:14" ht="16" x14ac:dyDescent="0.2">
      <c r="C66" s="17" t="s">
        <v>433</v>
      </c>
      <c r="D66" s="17">
        <v>1</v>
      </c>
      <c r="E66" s="14" t="s">
        <v>421</v>
      </c>
      <c r="F66" s="17" t="s">
        <v>434</v>
      </c>
      <c r="H66" s="33" t="s">
        <v>435</v>
      </c>
      <c r="I66" s="19">
        <v>2.91</v>
      </c>
      <c r="J66" s="20">
        <f>raven_a1_bom[[#This Row],[Qty]]*raven_a1_bom[[#This Row],[Mouser 
Unit Price]]</f>
        <v>2.91</v>
      </c>
      <c r="K66" s="20">
        <f>raven_a1_bom[[#This Row],[Mouser 
Total Price]]*1.19</f>
        <v>3.4628999999999999</v>
      </c>
      <c r="M66" s="20"/>
      <c r="N66" s="20"/>
    </row>
    <row r="67" spans="1:14" ht="16" x14ac:dyDescent="0.2">
      <c r="C67" s="17" t="s">
        <v>432</v>
      </c>
      <c r="D67" s="17">
        <v>1</v>
      </c>
      <c r="E67" s="14" t="s">
        <v>421</v>
      </c>
      <c r="F67" s="17" t="s">
        <v>484</v>
      </c>
      <c r="H67" s="33" t="s">
        <v>431</v>
      </c>
      <c r="I67" s="19">
        <v>4.2300000000000004</v>
      </c>
      <c r="J67" s="20">
        <f>raven_a1_bom[[#This Row],[Qty]]*raven_a1_bom[[#This Row],[Mouser 
Unit Price]]</f>
        <v>4.2300000000000004</v>
      </c>
      <c r="K67" s="20">
        <f>raven_a1_bom[[#This Row],[Mouser 
Total Price]]*1.19</f>
        <v>5.0337000000000005</v>
      </c>
      <c r="M67" s="20"/>
      <c r="N67" s="20"/>
    </row>
    <row r="68" spans="1:14" ht="16" x14ac:dyDescent="0.2">
      <c r="C68" s="17" t="s">
        <v>428</v>
      </c>
      <c r="D68" s="17">
        <v>1</v>
      </c>
      <c r="E68" s="14" t="s">
        <v>421</v>
      </c>
      <c r="F68" s="17" t="s">
        <v>429</v>
      </c>
      <c r="H68" s="33" t="s">
        <v>430</v>
      </c>
      <c r="I68" s="19">
        <v>3.17</v>
      </c>
      <c r="J68" s="20">
        <f>raven_a1_bom[[#This Row],[Qty]]*raven_a1_bom[[#This Row],[Mouser 
Unit Price]]</f>
        <v>3.17</v>
      </c>
      <c r="K68" s="20">
        <f>raven_a1_bom[[#This Row],[Mouser 
Total Price]]*1.19</f>
        <v>3.7722999999999995</v>
      </c>
      <c r="M68" s="20"/>
      <c r="N68" s="20"/>
    </row>
    <row r="69" spans="1:14" ht="16" x14ac:dyDescent="0.2">
      <c r="A69" s="17" t="s">
        <v>150</v>
      </c>
      <c r="B69" s="17" t="s">
        <v>153</v>
      </c>
      <c r="C69" s="17" t="s">
        <v>154</v>
      </c>
      <c r="D69" s="17">
        <v>1</v>
      </c>
      <c r="E69" s="14" t="s">
        <v>422</v>
      </c>
      <c r="H69" s="18" t="s">
        <v>288</v>
      </c>
      <c r="I69" s="19">
        <v>1.33</v>
      </c>
      <c r="J69" s="20">
        <f>raven_a1_bom[[#This Row],[Qty]]*raven_a1_bom[[#This Row],[Mouser 
Unit Price]]</f>
        <v>1.33</v>
      </c>
      <c r="K69" s="20">
        <f>raven_a1_bom[[#This Row],[Mouser 
Total Price]]*1.19</f>
        <v>1.5827</v>
      </c>
      <c r="M69" s="20"/>
      <c r="N69" s="20"/>
    </row>
    <row r="70" spans="1:14" ht="16" x14ac:dyDescent="0.2">
      <c r="A70" s="17" t="s">
        <v>150</v>
      </c>
      <c r="B70" s="17" t="s">
        <v>155</v>
      </c>
      <c r="C70" s="17" t="s">
        <v>156</v>
      </c>
      <c r="D70" s="17">
        <v>1</v>
      </c>
      <c r="E70" s="14" t="s">
        <v>423</v>
      </c>
      <c r="H70" s="18" t="s">
        <v>287</v>
      </c>
      <c r="I70" s="19">
        <v>3.59</v>
      </c>
      <c r="J70" s="20">
        <f>raven_a1_bom[[#This Row],[Qty]]*raven_a1_bom[[#This Row],[Mouser 
Unit Price]]</f>
        <v>3.59</v>
      </c>
      <c r="K70" s="20">
        <f>raven_a1_bom[[#This Row],[Mouser 
Total Price]]*1.19</f>
        <v>4.2721</v>
      </c>
      <c r="M70" s="20"/>
      <c r="N70" s="20"/>
    </row>
    <row r="71" spans="1:14" ht="16" x14ac:dyDescent="0.2">
      <c r="A71" s="17" t="s">
        <v>150</v>
      </c>
      <c r="B71" s="17" t="s">
        <v>157</v>
      </c>
      <c r="C71" s="17" t="s">
        <v>158</v>
      </c>
      <c r="D71" s="17">
        <v>1</v>
      </c>
      <c r="E71" s="14" t="s">
        <v>424</v>
      </c>
      <c r="H71" s="18" t="s">
        <v>286</v>
      </c>
      <c r="I71" s="19">
        <v>3.78</v>
      </c>
      <c r="J71" s="20">
        <f>raven_a1_bom[[#This Row],[Qty]]*raven_a1_bom[[#This Row],[Mouser 
Unit Price]]</f>
        <v>3.78</v>
      </c>
      <c r="K71" s="20">
        <f>raven_a1_bom[[#This Row],[Mouser 
Total Price]]*1.19</f>
        <v>4.4981999999999998</v>
      </c>
      <c r="M71" s="20"/>
      <c r="N71" s="20"/>
    </row>
    <row r="72" spans="1:14" ht="16" x14ac:dyDescent="0.2">
      <c r="A72" s="17" t="s">
        <v>159</v>
      </c>
      <c r="B72" s="17" t="s">
        <v>160</v>
      </c>
      <c r="C72" s="17" t="s">
        <v>161</v>
      </c>
      <c r="D72" s="17">
        <v>1</v>
      </c>
      <c r="E72" s="14" t="s">
        <v>425</v>
      </c>
      <c r="H72" s="18" t="s">
        <v>285</v>
      </c>
      <c r="I72" s="19">
        <v>1.29</v>
      </c>
      <c r="J72" s="20">
        <f>raven_a1_bom[[#This Row],[Qty]]*raven_a1_bom[[#This Row],[Mouser 
Unit Price]]</f>
        <v>1.29</v>
      </c>
      <c r="K72" s="20">
        <f>raven_a1_bom[[#This Row],[Mouser 
Total Price]]*1.19</f>
        <v>1.5350999999999999</v>
      </c>
      <c r="M72" s="20"/>
      <c r="N72" s="20"/>
    </row>
    <row r="73" spans="1:14" ht="16" x14ac:dyDescent="0.2">
      <c r="A73" s="17" t="s">
        <v>162</v>
      </c>
      <c r="B73" s="17" t="s">
        <v>163</v>
      </c>
      <c r="C73" s="17" t="s">
        <v>164</v>
      </c>
      <c r="D73" s="17">
        <v>1</v>
      </c>
      <c r="E73" s="14" t="s">
        <v>426</v>
      </c>
      <c r="H73" s="18" t="s">
        <v>284</v>
      </c>
      <c r="I73" s="19">
        <v>0.249</v>
      </c>
      <c r="J73" s="20">
        <f>raven_a1_bom[[#This Row],[Qty]]*raven_a1_bom[[#This Row],[Mouser 
Unit Price]]</f>
        <v>0.249</v>
      </c>
      <c r="K73" s="20">
        <f>raven_a1_bom[[#This Row],[Mouser 
Total Price]]*1.19</f>
        <v>0.29630999999999996</v>
      </c>
      <c r="M73" s="20"/>
      <c r="N73" s="20"/>
    </row>
    <row r="74" spans="1:14" ht="16" x14ac:dyDescent="0.2">
      <c r="A74" s="17" t="s">
        <v>165</v>
      </c>
      <c r="B74" s="17" t="s">
        <v>166</v>
      </c>
      <c r="C74" s="17" t="s">
        <v>167</v>
      </c>
      <c r="D74" s="17">
        <v>1</v>
      </c>
      <c r="E74" s="14" t="s">
        <v>417</v>
      </c>
      <c r="L74" s="18" t="s">
        <v>344</v>
      </c>
      <c r="M74" s="20">
        <f>7.99+1.99</f>
        <v>9.98</v>
      </c>
      <c r="N74" s="20">
        <f>raven_a1_bom[[#This Row],[Qty]]*raven_a1_bom[[#This Row],[alt. 
Price]]</f>
        <v>9.98</v>
      </c>
    </row>
    <row r="75" spans="1:14" ht="16" x14ac:dyDescent="0.2">
      <c r="A75" s="17" t="s">
        <v>168</v>
      </c>
      <c r="B75" s="17" t="s">
        <v>169</v>
      </c>
      <c r="C75" s="17" t="s">
        <v>170</v>
      </c>
      <c r="D75" s="17">
        <v>1</v>
      </c>
      <c r="E75" s="14" t="s">
        <v>403</v>
      </c>
      <c r="L75" s="18" t="s">
        <v>344</v>
      </c>
      <c r="M75" s="20">
        <v>20</v>
      </c>
      <c r="N75" s="20">
        <f>raven_a1_bom[[#This Row],[Qty]]*raven_a1_bom[[#This Row],[alt. 
Price]]</f>
        <v>20</v>
      </c>
    </row>
    <row r="76" spans="1:14" ht="32" x14ac:dyDescent="0.2">
      <c r="A76" s="17" t="s">
        <v>168</v>
      </c>
      <c r="B76" s="17" t="s">
        <v>243</v>
      </c>
      <c r="C76" s="17" t="s">
        <v>170</v>
      </c>
      <c r="D76" s="17">
        <v>1</v>
      </c>
      <c r="E76" s="14" t="s">
        <v>403</v>
      </c>
      <c r="F76" s="14" t="s">
        <v>485</v>
      </c>
      <c r="L76" s="22" t="s">
        <v>344</v>
      </c>
      <c r="M76" s="20">
        <f>11.19</f>
        <v>11.19</v>
      </c>
      <c r="N76" s="20">
        <f>raven_a1_bom[[#This Row],[Qty]]*raven_a1_bom[[#This Row],[alt. 
Price]]</f>
        <v>11.19</v>
      </c>
    </row>
    <row r="77" spans="1:14" ht="16" x14ac:dyDescent="0.2">
      <c r="A77" s="17" t="s">
        <v>168</v>
      </c>
      <c r="B77" s="17" t="s">
        <v>171</v>
      </c>
      <c r="C77" s="17" t="s">
        <v>172</v>
      </c>
      <c r="D77" s="17">
        <v>1</v>
      </c>
      <c r="E77" s="14" t="s">
        <v>406</v>
      </c>
      <c r="L77" s="22" t="s">
        <v>487</v>
      </c>
      <c r="M77" s="34"/>
      <c r="N77" s="34"/>
    </row>
    <row r="78" spans="1:14" ht="16" x14ac:dyDescent="0.2">
      <c r="A78" s="17" t="s">
        <v>168</v>
      </c>
      <c r="B78" s="17" t="s">
        <v>173</v>
      </c>
      <c r="C78" s="17" t="s">
        <v>174</v>
      </c>
      <c r="D78" s="17">
        <v>1</v>
      </c>
      <c r="E78" s="14" t="s">
        <v>474</v>
      </c>
      <c r="L78" s="18" t="s">
        <v>344</v>
      </c>
      <c r="M78" s="20">
        <f>23.94/3</f>
        <v>7.98</v>
      </c>
      <c r="N78" s="20">
        <f>raven_a1_bom[[#This Row],[Qty]]*raven_a1_bom[[#This Row],[alt. 
Price]]</f>
        <v>7.98</v>
      </c>
    </row>
    <row r="79" spans="1:14" ht="16" x14ac:dyDescent="0.2">
      <c r="A79" s="17" t="s">
        <v>168</v>
      </c>
      <c r="B79" s="17" t="s">
        <v>173</v>
      </c>
      <c r="C79" s="17" t="s">
        <v>174</v>
      </c>
      <c r="D79" s="17">
        <v>1</v>
      </c>
      <c r="E79" s="14" t="s">
        <v>475</v>
      </c>
      <c r="L79" s="18" t="s">
        <v>344</v>
      </c>
      <c r="M79" s="20">
        <f>23.94/3</f>
        <v>7.98</v>
      </c>
      <c r="N79" s="20">
        <f>raven_a1_bom[[#This Row],[Qty]]*raven_a1_bom[[#This Row],[alt. 
Price]]</f>
        <v>7.98</v>
      </c>
    </row>
    <row r="80" spans="1:14" ht="16" x14ac:dyDescent="0.2">
      <c r="A80" s="17" t="s">
        <v>175</v>
      </c>
      <c r="B80" s="17" t="s">
        <v>176</v>
      </c>
      <c r="C80" s="17" t="s">
        <v>177</v>
      </c>
      <c r="D80" s="17">
        <v>1</v>
      </c>
      <c r="E80" s="14" t="s">
        <v>406</v>
      </c>
      <c r="L80" t="s">
        <v>486</v>
      </c>
      <c r="M80" s="20">
        <v>8.9</v>
      </c>
      <c r="N80" s="20">
        <f>raven_a1_bom[[#This Row],[Qty]]*raven_a1_bom[[#This Row],[alt. 
Price]]</f>
        <v>8.9</v>
      </c>
    </row>
    <row r="81" spans="1:14" x14ac:dyDescent="0.2">
      <c r="A81" s="17" t="s">
        <v>241</v>
      </c>
      <c r="B81" s="17" t="s">
        <v>242</v>
      </c>
      <c r="D81" s="17">
        <v>1</v>
      </c>
      <c r="L81" s="17" t="s">
        <v>241</v>
      </c>
      <c r="M81" s="20">
        <f>F94</f>
        <v>71.440460000000002</v>
      </c>
      <c r="N81" s="20">
        <f>raven_a1_bom[[#This Row],[Qty]]*raven_a1_bom[[#This Row],[alt. 
Price]]</f>
        <v>71.440460000000002</v>
      </c>
    </row>
    <row r="82" spans="1:14" x14ac:dyDescent="0.2">
      <c r="J82" s="20">
        <f>SUM(J2:J81)</f>
        <v>120.634</v>
      </c>
      <c r="K82" s="20">
        <f>SUM(K2:K81)</f>
        <v>143.55445999999998</v>
      </c>
      <c r="L82" s="20"/>
      <c r="M82" s="20"/>
      <c r="N82" s="24">
        <f>SUM(N2:N81)</f>
        <v>182.09314499999999</v>
      </c>
    </row>
    <row r="84" spans="1:14" x14ac:dyDescent="0.2">
      <c r="K84" s="24"/>
    </row>
    <row r="85" spans="1:14" x14ac:dyDescent="0.2">
      <c r="A85" s="25" t="s">
        <v>351</v>
      </c>
      <c r="B85" s="26">
        <f>raven_a1_bom[[#Totals],[Mouser Brutto]]+raven_a1_bom[[#Totals],[Alt. 
Total Price]]</f>
        <v>325.647605</v>
      </c>
      <c r="H85" s="25"/>
      <c r="I85" s="32"/>
      <c r="J85" s="26"/>
    </row>
    <row r="88" spans="1:14" ht="16" x14ac:dyDescent="0.2">
      <c r="A88" s="25" t="s">
        <v>437</v>
      </c>
      <c r="B88" s="25" t="s">
        <v>439</v>
      </c>
      <c r="C88" s="25" t="s">
        <v>440</v>
      </c>
      <c r="D88" s="25"/>
      <c r="E88" s="29" t="s">
        <v>441</v>
      </c>
      <c r="F88" s="30" t="s">
        <v>442</v>
      </c>
    </row>
    <row r="89" spans="1:14" x14ac:dyDescent="0.2">
      <c r="A89" s="17" t="s">
        <v>444</v>
      </c>
      <c r="B89" s="20">
        <v>88.78</v>
      </c>
      <c r="C89" s="20">
        <v>88.78</v>
      </c>
      <c r="D89" s="20"/>
      <c r="E89" s="20">
        <v>88.78</v>
      </c>
      <c r="F89" s="23">
        <v>88.78</v>
      </c>
    </row>
    <row r="90" spans="1:14" x14ac:dyDescent="0.2">
      <c r="A90" s="17" t="s">
        <v>445</v>
      </c>
      <c r="B90" s="20">
        <v>104.69</v>
      </c>
      <c r="C90" s="20">
        <v>114.95</v>
      </c>
      <c r="D90" s="20"/>
      <c r="E90" s="16">
        <v>125.22</v>
      </c>
      <c r="F90" s="23">
        <v>135.49</v>
      </c>
    </row>
    <row r="91" spans="1:14" x14ac:dyDescent="0.2">
      <c r="A91" s="17" t="s">
        <v>438</v>
      </c>
      <c r="B91" s="20">
        <v>75.900000000000006</v>
      </c>
      <c r="C91" s="20">
        <v>75.900000000000006</v>
      </c>
      <c r="D91" s="20"/>
      <c r="E91" s="16">
        <v>75.900000000000006</v>
      </c>
      <c r="F91" s="23">
        <v>75.900000000000006</v>
      </c>
    </row>
    <row r="92" spans="1:14" x14ac:dyDescent="0.2">
      <c r="A92" s="17" t="s">
        <v>349</v>
      </c>
      <c r="B92" s="20">
        <f>(B91+B90+B89)*0.19</f>
        <v>51.180300000000003</v>
      </c>
      <c r="C92" s="20">
        <f>(C91+C90+C89)*0.19</f>
        <v>53.1297</v>
      </c>
      <c r="D92" s="20"/>
      <c r="E92" s="20">
        <f>(E91+E90+E89)*0.19</f>
        <v>55.080999999999996</v>
      </c>
      <c r="F92" s="23">
        <f>(F91+F90+F89)*0.19</f>
        <v>57.032300000000006</v>
      </c>
    </row>
    <row r="93" spans="1:14" x14ac:dyDescent="0.2">
      <c r="A93" s="17" t="s">
        <v>443</v>
      </c>
      <c r="B93" s="20">
        <f>SUM(B89:B92)</f>
        <v>320.55029999999999</v>
      </c>
      <c r="C93" s="20">
        <f>SUM(C89:C92)</f>
        <v>332.75970000000001</v>
      </c>
      <c r="D93" s="20"/>
      <c r="E93" s="20">
        <f>SUM(E89:E92)</f>
        <v>344.98099999999999</v>
      </c>
      <c r="F93" s="23">
        <f>SUM(F89:F92)</f>
        <v>357.20230000000004</v>
      </c>
    </row>
    <row r="94" spans="1:14" x14ac:dyDescent="0.2">
      <c r="A94" s="25" t="s">
        <v>446</v>
      </c>
      <c r="B94" s="26">
        <f>(B89+B91+B92)/5+B90/2</f>
        <v>95.517060000000001</v>
      </c>
      <c r="C94" s="26">
        <f>(C89+C91+C92)/5+C90/3</f>
        <v>81.878606666666684</v>
      </c>
      <c r="D94" s="26"/>
      <c r="E94" s="26">
        <f>(E89+E91+E92)/5+E90/4</f>
        <v>75.257199999999997</v>
      </c>
      <c r="F94" s="28">
        <f>(F89+F91+F92)/5+F90/5</f>
        <v>71.440460000000002</v>
      </c>
    </row>
  </sheetData>
  <hyperlinks>
    <hyperlink ref="H61" r:id="rId1" display="https://www.mouser.de/ProductDetail/Infineon/CY2308SXC-2?qs=INUNDRnszcZ2aiGQsEzXKA%3D%3D" xr:uid="{E3719332-BE13-FA40-88EA-3838B7447718}"/>
    <hyperlink ref="H59" r:id="rId2" display="https://www.mouser.de/ProductDetail/Texas-Instruments/TXU0202DCUR?qs=t7xnP681wgVssPLUozppFA%3D%3D" xr:uid="{38A9DF99-5EAD-714C-9910-CC53CBCF05DC}"/>
    <hyperlink ref="H58" r:id="rId3" display="https://www.mouser.de/ProductDetail/Analog-Devices-Inc/DS1307Z%2bTR?qs=0Y9aZN%252BMVCXp4OQc9xwQow%3D%3D" xr:uid="{F1161519-B51C-6741-8AC6-0FCAF757D960}"/>
    <hyperlink ref="H56" r:id="rId4" display="https://www.mouser.de/ProductDetail/Analog-Devices-Inc/MAX16054AZT%2bT?qs=CDqwynd4ZNoG75aAAjGoqQ%3D%3D" xr:uid="{764500E2-0EE1-1B42-85FE-850527E27CDC}"/>
    <hyperlink ref="H50" r:id="rId5" display="https://www.mouser.de/ProductDetail/Nexperia/74AHC157D118?qs=P62ublwmbi9xi0CN8itHxA%3D%3D" xr:uid="{2A67E662-F1A3-5643-B26D-34DE9953A8BE}"/>
    <hyperlink ref="H49" r:id="rId6" display="https://www.mouser.de/ProductDetail/Texas-Instruments/CD74HCT10M96G4?qs=ChKNY6DiOptOIaRvAjgppA%3D%3D" xr:uid="{DAE2728A-0FB2-324C-AEC1-CF796B9870FC}"/>
    <hyperlink ref="H48" r:id="rId7" display="https://www.mouser.de/ProductDetail/Texas-Instruments/SN74LS148DR?qs=N6WZOzgtpqUYbR2JHrDnOg%3D%3D" xr:uid="{C29068CC-7624-224C-8E3E-BB0111D8CB60}"/>
    <hyperlink ref="H47" r:id="rId8" display="https://www.mouser.de/ProductDetail/Texas-Instruments/SN74LS07DR?qs=pt%2FIv5r0EPd%252BnAeNi0z2lw%3D%3D" xr:uid="{16348E96-5DCD-A445-BD87-007A919A276B}"/>
    <hyperlink ref="H20" r:id="rId9" display="https://www.mouser.de/ProductDetail/TDK/B57621C5103J62?qs=LrU5VpCvnuvObRTK%252BVWp2g%3D%3D" xr:uid="{7833D0FE-32A9-054A-AF7E-377CD0A37007}"/>
    <hyperlink ref="H18" r:id="rId10" display="https://www.mouser.de/ProductDetail/Comchip-Technology/CGRKM4001-HF?qs=fer0DVZjnG5DVcelm4nmsA%3D%3D" xr:uid="{F712EBFC-63AE-EB44-96B7-A9D892888AA3}"/>
    <hyperlink ref="H14" r:id="rId11" display="https://www.mouser.de/ProductDetail/YAGEO/RT1206FRE0733RL?qs=RtU67MWp17C9BoGN7Wnu3A%3D%3D" xr:uid="{5BC053FE-293A-104B-9402-6C31251F72BC}"/>
    <hyperlink ref="H13" r:id="rId12" display="https://www.mouser.de/ProductDetail/YAGEO/RT1206FRE07220RL?qs=yNCrj0CQcyIDJm%252BN6MoQJw%3D%3D" xr:uid="{CC4958D5-9EFC-5C4E-898F-8BD912D65522}"/>
    <hyperlink ref="H12" r:id="rId13" display="https://www.mouser.de/ProductDetail/YAGEO/RT1206FRE07470RL?qs=yNCrj0CQcyINIXapwYY9FA%3D%3D" xr:uid="{4EE16CC5-9996-4B4C-8FDE-7ABA8B055EC8}"/>
    <hyperlink ref="H11" r:id="rId14" display="https://www.mouser.de/ProductDetail/YAGEO/RT1206FRE071KL?qs=8cPjvKtxWv7jh0D8%252BNyMRg%3D%3D" xr:uid="{7123AD03-0C66-BE4D-8BD5-2B49522F25D9}"/>
    <hyperlink ref="H10" r:id="rId15" display="https://www.mouser.de/ProductDetail/YAGEO/RT1206FRE072K2L?qs=yNCrj0CQcyJif6VASMbdeQ%3D%3D" xr:uid="{B50FBAFC-904D-7444-A896-CE95B8128FD3}"/>
    <hyperlink ref="H9" r:id="rId16" display="https://www.mouser.de/ProductDetail/YAGEO/RT1206FRE074K7L?qs=yNCrj0CQcyLcoH%2FB%252BiP%2FFQ%3D%3D" xr:uid="{6CC532E2-E397-624B-98A8-2A945E8A0808}"/>
    <hyperlink ref="H8" r:id="rId17" display="https://www.mouser.de/ProductDetail/YAGEO/RT1206FRE0710KL?qs=8cPjvKtxWv45%2FSPYTvTNKg%3D%3D" xr:uid="{F97A532C-99E7-EE44-A9DD-BDF95C72CE91}"/>
    <hyperlink ref="H7" r:id="rId18" display="https://www.mouser.de/ProductDetail/KEMET/C1206C330J1GACTU?qs=QMB%252B36lCsNTZJroqikiHEg%3D%3D" xr:uid="{DD9E9070-A59A-B74C-8EA9-47F6BC52D988}"/>
    <hyperlink ref="H6" r:id="rId19" display="https://www.mouser.de/ProductDetail/KEMET/C1206C103K2RACTU?qs=gk1esnJQeXpM8k3U0EBgJA%3D%3D" xr:uid="{5E1271A4-3F26-7B46-8EDB-8C18405D182E}"/>
    <hyperlink ref="H5" r:id="rId20" display="https://www.mouser.de/ProductDetail/KEMET/C1206C104K5RACTU?qs=VbFpUC1cecnmBMAUeCQCPw%3D%3D" xr:uid="{DA0670F2-FE2D-8649-832B-19B5E321EB6F}"/>
    <hyperlink ref="H4" r:id="rId21" display="https://www.mouser.de/ProductDetail/KEMET/C1206C105K4RACTU?qs=mhB89zxvawkhvFSUXW8mIw%3D%3D" xr:uid="{811A8E0E-7B83-2B43-8C6C-233E44CFDD47}"/>
    <hyperlink ref="H51" r:id="rId22" xr:uid="{8DF89B6A-C06E-6343-B0EA-15E929EC23A1}"/>
    <hyperlink ref="H73" r:id="rId23" xr:uid="{74CDF89A-350D-BF40-ACD8-55FCA0D78EAA}"/>
    <hyperlink ref="H72" r:id="rId24" display="https://www.mouser.de/ProductDetail/CTS/MP024S?qs=Mr%252BgrRYddfp%2FFv5qarYPDw%3D%3D" xr:uid="{756456AA-4DB9-3E41-9353-EC159C790725}"/>
    <hyperlink ref="H71" r:id="rId25" display="https://www.mouser.de/ProductDetail/ABRACON/ACH-14.31818MHZ-EK?qs=m%252BUhWDcpCfYHkLvwOoxiTw%3D%3D" xr:uid="{390B82D0-20FD-3849-AE9C-6591F4E0E96A}"/>
    <hyperlink ref="H70" r:id="rId26" display="https://www.mouser.de/ProductDetail/ABRACON/ACH-8.000MHZ-EK?qs=aMAwYrhw3fgM4xeLMObWdw%3D%3D" xr:uid="{F84228DA-6BA5-2B43-ACA5-7643E8F07139}"/>
    <hyperlink ref="H69" r:id="rId27" display="https://www.mouser.de/ProductDetail/ABRACON/ASV-24.000MHZ-EJ-T?qs=D0XpjEo%2FJ5A3MXd5wpVzGA%3D%3D" xr:uid="{7142AB00-8655-0947-9587-136228B573BF}"/>
    <hyperlink ref="H65" r:id="rId28" display="https://www.mouser.de/ProductDetail/ABRACON/ACHL-48.000MHZ-EK?qs=2xLVn2jvFutFRHoH7%252BEkKw%3D%3D" xr:uid="{BAF19475-A079-0B49-833F-101E987AEFA9}"/>
    <hyperlink ref="H64" r:id="rId29" display="https://www.mouser.de/ProductDetail/Vishay/IRF510PBF?qs=cvaI6ThkwxvE%2Fq53SiepeA%3D%3D" xr:uid="{EC0BC823-64F9-EF4D-9FC6-FA4DEF33B32F}"/>
    <hyperlink ref="H62" r:id="rId30" display="https://www.mouser.de/ProductDetail/MaxLinear/XR68M752IM48-F?qs=S%2FCBhQS5rCoh7JKLcVAnOg%3D%3D" xr:uid="{F9F9A681-8B82-A543-ABAB-AB4C02BB97D4}"/>
    <hyperlink ref="H60" r:id="rId31" display="https://www.mouser.de/ProductDetail/Texas-Instruments/LM7905CT-NOPB?qs=QbsRYf82W3EUyxHaqeuxKA%3D%3D" xr:uid="{1A26124E-2D49-B748-88E7-BF1E33DCF7C6}"/>
    <hyperlink ref="H57" r:id="rId32" display="https://www.mouser.de/ProductDetail/Analog-Devices-Inc/DS1818-10%2bTR?qs=S0kZczzPnwnKFlw6JN%2FzqQ%3D%3D" xr:uid="{C427979D-46B8-8E49-B3D4-E4D87D4DC1E6}"/>
    <hyperlink ref="H55" r:id="rId33" display="https://www.mouser.de/ProductDetail/Analog-Devices-Inc/MAX3245CAI%2bT?qs=CDqwynd4ZNoTLG520m7jTA%3D%3D" xr:uid="{5FD838C6-8804-D449-B073-CA56D3A5FF92}"/>
    <hyperlink ref="H54" r:id="rId34" display="https://www.mouser.de/ProductDetail/Microchip/PIC16F876A-I-SP?qs=wPbeaPfwU9%2FdIiAjeCfoEA%3D%3D" xr:uid="{FC1536B0-2077-934D-BD9B-73F74A393AC1}"/>
    <hyperlink ref="H53" r:id="rId35" display="https://www.mouser.de/ProductDetail/Microchip/ATF22V10C-10PU?qs=sbcp%2F4gpy08q9KneenDHAA%3D%3D" xr:uid="{3AA28E25-5DEB-6B4E-9630-11E91DD55596}"/>
    <hyperlink ref="H52" r:id="rId36" display="https://www.mouser.de/ProductDetail/Microchip/ATF1508AS-7JX84?qs=fH4tvdCgwtN3Qt072sj77g%3D%3D" xr:uid="{83B698AF-2B9A-D549-8D19-E1C15405FD3B}"/>
    <hyperlink ref="H46" r:id="rId37" display="https://www.mouser.de/ProductDetail/Alps-Alpine/SKHHARA010?qs=seHrhfPpLDx%252BIZL0Z0bB2Q%3D%3D" xr:uid="{623F6182-C1A5-CC45-9293-E4260011AAB5}"/>
    <hyperlink ref="H45" r:id="rId38" display="https://www.mouser.de/ProductDetail/TE-Connectivity/1-881545-4?qs=G55MHhPmvtLkN2rEtNDi5A%3D%3D" xr:uid="{C5A2A139-0281-A04B-B4EE-78115473143F}"/>
    <hyperlink ref="H44" r:id="rId39" display="https://www.mouser.de/ProductDetail/Aries-Electronics/1108800?qs=WZRMhwwaLl%2FwPZzvk3pU8Q%3D%3D" xr:uid="{66652F5D-7320-8045-84EA-D2446815D167}"/>
    <hyperlink ref="H43" r:id="rId40" display="https://www.mouser.de/ProductDetail/Preci-dip/540-88-084-24-008?qs=uQD7XCvsSCPDVAoQ8MY07g%3D%3D" xr:uid="{4A1917C5-63C1-4F46-8ACA-B232AD3B564E}"/>
    <hyperlink ref="H41" r:id="rId41" display="https://www.mouser.de/ProductDetail/3M/4848-6000-CP?qs=IGgAdOvCTsT1IGT3CDXYFQ%3D%3D" xr:uid="{DC456BF3-C12D-8A4E-93EC-307BD7DD4189}"/>
    <hyperlink ref="H39" r:id="rId42" display="https://www.mouser.de/ProductDetail/TE-Connectivity/1-2199298-9?qs=fK8dlpkaUMumZ9haKKccEA%3D%3D" xr:uid="{7F1A2D5D-A6A7-4540-B71F-D360DB924F92}"/>
    <hyperlink ref="H38" r:id="rId43" display="https://www.mouser.de/ProductDetail/TE-Connectivity/1-2199298-8?qs=fK8dlpkaUMsSY7Gqcrol0Q%3D%3D" xr:uid="{5C148D62-6CA8-E34C-99D3-088AAB01C4B6}"/>
    <hyperlink ref="H37" r:id="rId44" display="https://www.mouser.de/ProductDetail/Kycon/KMDGX-6SG-P-S4N?qs=wzaPhkLM3Q5CI9SGP7X58Q%3D%3D" xr:uid="{77141F3F-48B3-9940-82CF-F3CEF780B4DA}"/>
    <hyperlink ref="H35" r:id="rId45" display="https://www.mouser.de/ProductDetail/Kycon/STX-4235-3-3-N?qs=ZTSmt56lTDBfkW0yztFGwg%3D%3D" xr:uid="{3B5BA87C-7692-764D-854C-FB520F32063E}"/>
    <hyperlink ref="H34" r:id="rId46" display="https://www.mouser.de/ProductDetail/Amphenol/L17H26R0121?qs=ToP8pWlZ0bMFtS%252BGyW9sGg%3D%3D" xr:uid="{96EDAE1F-A2C2-AF48-B73B-512F54369F7C}"/>
    <hyperlink ref="H33" r:id="rId47" display="https://www.mouser.de/ProductDetail/Harwin/S8401-46?qs=Qom7kyPojXaFNoCO9lxVnA%3D%3D" xr:uid="{76849BE9-BB6B-3345-A955-316B0B688499}"/>
    <hyperlink ref="H32" r:id="rId48" display="https://www.mouser.de/ProductDetail/Molex/171856-1003?qs=s7UCm7gO1bYrc6bByhKL5g%3D%3D" xr:uid="{C19932C0-C437-B64A-B53D-0A309E89CDCA}"/>
    <hyperlink ref="H31" r:id="rId49" display="https://www.mouser.de/ProductDetail/Molex/87831-4420?qs=tYx%252BZc2nXqqGnHzye8Wn9w%3D%3D" xr:uid="{DFC5D6FA-ABB2-2D47-BF71-8EB536D46958}"/>
    <hyperlink ref="H30" r:id="rId50" display="https://www.mouser.de/ProductDetail/TE-Connectivity/5176139-2?qs=U4pz39agNJBU0eumMqgpvw%3D%3D" xr:uid="{0B62E93D-6A3D-D444-9C5B-3AB43F26F0A5}"/>
    <hyperlink ref="H29" r:id="rId51" display="https://www.mouser.de/ProductDetail/TE-Connectivity/5822030-3?qs=VZ9FDhhp7Slpu686fNrT6A%3D%3D" xr:uid="{0129E5C2-7C9A-B044-AACD-FC1F12C84512}"/>
    <hyperlink ref="H28" r:id="rId52" display="https://www.mouser.de/ProductDetail/TE-Connectivity/1-1775099-3?qs=28ld6GkVMjRzvehyCXdQkg%3D%3D" xr:uid="{F76EF0B6-E591-294B-9C7C-3B985B4FC489}"/>
    <hyperlink ref="H27" r:id="rId53" display="https://www.mouser.de/ProductDetail/Wurth-Elektronik/61201021621?qs=W%252B2sBeLta1a0dwX5pxbfXw%3D%3D" xr:uid="{833F0436-3202-0940-B6B7-CFFCEC902A38}"/>
    <hyperlink ref="H26" r:id="rId54" display="https://www.mouser.de/ProductDetail/Wurth-Elektronik/61301021121?qs=ZtY9WdtwX5612K9FdDCZCA%3D%3D" xr:uid="{D4E88638-3122-2D43-9C7D-1A0297AF9519}"/>
    <hyperlink ref="H25" r:id="rId55" display="https://www.mouser.de/ProductDetail/Wurth-Elektronik/61300821121?qs=PhR8RmCirEZmTYQilRTqTw%3D%3D" xr:uid="{F22D3DB3-8F76-7546-A557-24DFB1698E28}"/>
    <hyperlink ref="H22" r:id="rId56" display="https://www.mouser.de/ProductDetail/Wurth-Elektronik/61300311121?qs=PhR8RmCirEYxRWFJzNKsUw%3D%3D" xr:uid="{BAC60BFA-DC8F-2244-A31A-F6298243C7CC}"/>
    <hyperlink ref="H21" r:id="rId57" display="https://www.mouser.de/ProductDetail/Wurth-Elektronik/61300211121?qs=t4813l51qx%252B1A5GYDQxPlw%3D%3D" xr:uid="{988086AE-6E98-EC4B-A7C1-D7F6E5873F58}"/>
    <hyperlink ref="H19" r:id="rId58" display="https://www.mouser.de/ProductDetail/Taiwan-Semiconductor/1N914BW-RHG?qs=KwaGCOX4wIYPM9%252B%2FnSKQAQ%3D%3D" xr:uid="{F343A140-321C-0F47-963C-D543CB9FA418}"/>
    <hyperlink ref="H16" r:id="rId59" display="https://www.mouser.de/ProductDetail/TT-Electronics/L091S472LF?qs=xb9WiAtyCdaDM3%252BK1RO9Bg%3D%3D" xr:uid="{D0DF52E4-734B-DA43-8B45-1D7E1A995A8B}"/>
    <hyperlink ref="H15" r:id="rId60" display="https://www.mouser.de/ProductDetail/TT-Electronics/L091S103LF?qs=fDJELps25Vsbwq1OlWn5Gg%3D%3D" xr:uid="{AEFC2A43-9806-174F-9CF0-E4A97182BFC0}"/>
    <hyperlink ref="H3" r:id="rId61" display="https://www.mouser.de/ProductDetail/Panasonic/EEU-EB1H4R7SH?qs=MtOUKumLmna4Mo%2FieUkK%252Bw%3D%3D" xr:uid="{C611680B-1E61-514A-8F70-FC194F2F39DB}"/>
    <hyperlink ref="H2" r:id="rId62" display="https://www.mouser.de/ProductDetail/Panasonic/EEU-EB1H100SH?qs=MtOUKumLmnaxYZkjnKwzWw%3D%3D" xr:uid="{389D06CA-CDB0-DC44-8DB4-6FEF14B76499}"/>
    <hyperlink ref="H17" r:id="rId63" xr:uid="{84810C9A-C048-4644-8312-2CE8853C8A15}"/>
    <hyperlink ref="H36" r:id="rId64" xr:uid="{CDA54098-F066-C240-A1F5-119997510B3E}"/>
    <hyperlink ref="L74" r:id="rId65" xr:uid="{7D02EC0D-8C1D-284E-8C79-AD58F5A0B186}"/>
    <hyperlink ref="L62" r:id="rId66" xr:uid="{50928D4D-0E15-E544-BCCC-D27947D03E3F}"/>
    <hyperlink ref="L75" r:id="rId67" xr:uid="{74E5DB99-6110-2449-8F54-DD00AA360A24}"/>
    <hyperlink ref="L76" r:id="rId68" xr:uid="{C80EEC46-CB16-F34E-A59B-D00D350E525B}"/>
    <hyperlink ref="L77" r:id="rId69" display="Amibay" xr:uid="{BE482299-7B94-6642-B8F5-943421F70BCE}"/>
    <hyperlink ref="L78" r:id="rId70" xr:uid="{7D23E6F2-D3AF-9F4F-A343-325B8456BABC}"/>
    <hyperlink ref="H23" r:id="rId71" xr:uid="{2FCA658C-B937-D849-8BC1-B8533716B560}"/>
    <hyperlink ref="H40" r:id="rId72" xr:uid="{7E122A52-85B5-2644-9855-FE483BD616DA}"/>
    <hyperlink ref="H42" r:id="rId73" xr:uid="{C74F83BC-7C40-924C-84B7-935A3DBBBE30}"/>
    <hyperlink ref="H63" r:id="rId74" xr:uid="{B2867DEC-58A5-F640-9262-AB13A71DBCC5}"/>
    <hyperlink ref="H68" r:id="rId75" xr:uid="{BB3E505C-41DA-458E-AD63-FE8B3C31D51F}"/>
    <hyperlink ref="H67" r:id="rId76" xr:uid="{815C2774-C12B-4175-9F4F-309EB0B0E5CC}"/>
    <hyperlink ref="H66" r:id="rId77" xr:uid="{1FBAFFD9-61F9-4097-A221-0D4E632EFCDA}"/>
    <hyperlink ref="L15" r:id="rId78" xr:uid="{5FB5C1BC-11AF-5848-9BD0-A9FA3B201DBB}"/>
    <hyperlink ref="L16" r:id="rId79" xr:uid="{B1F8D597-541E-B14C-B74A-51ED8121EEA9}"/>
    <hyperlink ref="L17" r:id="rId80" xr:uid="{F1F49485-077D-3A41-8B07-48CF6B9776B9}"/>
    <hyperlink ref="L31" r:id="rId81" xr:uid="{455097AD-A341-724D-A747-940E25DCF3CD}"/>
    <hyperlink ref="L32" r:id="rId82" xr:uid="{74EA2100-0A6C-0C42-8D86-572D0D914374}"/>
    <hyperlink ref="L38" r:id="rId83" xr:uid="{10EA153F-5350-B249-A2C0-D29B0D33CC80}"/>
    <hyperlink ref="L39" r:id="rId84" xr:uid="{719F0114-D852-B043-856A-B050B123E816}"/>
    <hyperlink ref="L40" r:id="rId85" xr:uid="{B9A4F691-96BF-0D4B-BF86-D0FD08B89E3C}"/>
    <hyperlink ref="L42" r:id="rId86" xr:uid="{C0D8E258-D3CF-374D-BFF2-33D406C0121E}"/>
    <hyperlink ref="L43" r:id="rId87" xr:uid="{017C58AB-7492-4B4E-A7B4-D4A0FBC9B224}"/>
    <hyperlink ref="L45" r:id="rId88" xr:uid="{607C62E4-2852-DB47-8F76-FD74558B2255}"/>
    <hyperlink ref="L58" r:id="rId89" xr:uid="{B72B3D72-FABD-A04B-AD98-090DC7BA6A16}"/>
    <hyperlink ref="L60" r:id="rId90" xr:uid="{9DDE1BCD-D989-D54A-96B1-187E047ECC5B}"/>
    <hyperlink ref="L63" r:id="rId91" xr:uid="{A2ABBBE3-EBA7-9740-8723-2407360A4E3E}"/>
    <hyperlink ref="L24" r:id="rId92" xr:uid="{09C118F4-7E49-4B46-BADE-4D34F47EAD55}"/>
    <hyperlink ref="L25" r:id="rId93" xr:uid="{67506D10-8168-4D4D-AA9C-96D092A62142}"/>
    <hyperlink ref="L26" r:id="rId94" xr:uid="{C0B90F5B-8F86-F74D-8D57-B64651C1E25C}"/>
    <hyperlink ref="L27" r:id="rId95" xr:uid="{63B295CF-F4A1-6A42-BFD7-A68651FECC09}"/>
    <hyperlink ref="L79" r:id="rId96" xr:uid="{9FCAA7BC-B226-9043-B043-E010A8263F60}"/>
  </hyperlinks>
  <pageMargins left="0.7" right="0.7" top="0.78740157499999996" bottom="0.78740157499999996" header="0.3" footer="0.3"/>
  <pageSetup scale="0" firstPageNumber="0" fitToWidth="0" fitToHeight="0" orientation="landscape" horizontalDpi="0" verticalDpi="0" copies="0"/>
  <tableParts count="1">
    <tablePart r:id="rId9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102EA-4DA6-473D-839E-145FF8313DFE}">
  <dimension ref="A1:Q12"/>
  <sheetViews>
    <sheetView zoomScaleNormal="100" workbookViewId="0">
      <pane xSplit="3" ySplit="1" topLeftCell="D2" activePane="bottomRight" state="frozen"/>
      <selection activeCell="S3" sqref="S3"/>
      <selection pane="topRight" activeCell="D1" sqref="D1"/>
      <selection pane="bottomLeft" activeCell="A2" sqref="A2"/>
      <selection pane="bottomRight" activeCell="C9" sqref="C9"/>
    </sheetView>
  </sheetViews>
  <sheetFormatPr baseColWidth="10" defaultColWidth="10.83203125" defaultRowHeight="15" x14ac:dyDescent="0.2"/>
  <cols>
    <col min="1" max="1" width="15.5" bestFit="1" customWidth="1"/>
    <col min="2" max="2" width="23.33203125" bestFit="1" customWidth="1"/>
    <col min="3" max="3" width="12.1640625" bestFit="1" customWidth="1"/>
    <col min="4" max="4" width="9.33203125" bestFit="1" customWidth="1"/>
    <col min="5" max="5" width="13.6640625" bestFit="1" customWidth="1"/>
    <col min="6" max="6" width="11.1640625" bestFit="1" customWidth="1"/>
    <col min="8" max="8" width="19.1640625" bestFit="1" customWidth="1"/>
    <col min="9" max="9" width="10.83203125" style="4"/>
  </cols>
  <sheetData>
    <row r="1" spans="1:17" ht="32" x14ac:dyDescent="0.2">
      <c r="A1" t="s">
        <v>0</v>
      </c>
      <c r="B1" t="s">
        <v>1</v>
      </c>
      <c r="C1" t="s">
        <v>2</v>
      </c>
      <c r="D1" t="s">
        <v>212</v>
      </c>
      <c r="E1" t="s">
        <v>181</v>
      </c>
      <c r="F1" t="s">
        <v>211</v>
      </c>
      <c r="G1" t="s">
        <v>179</v>
      </c>
      <c r="H1" t="s">
        <v>178</v>
      </c>
      <c r="I1" s="5" t="s">
        <v>354</v>
      </c>
      <c r="J1" s="3" t="s">
        <v>355</v>
      </c>
      <c r="K1" s="3" t="s">
        <v>473</v>
      </c>
      <c r="L1" s="3" t="s">
        <v>345</v>
      </c>
      <c r="M1" s="3" t="s">
        <v>352</v>
      </c>
      <c r="N1" s="3" t="s">
        <v>353</v>
      </c>
    </row>
    <row r="2" spans="1:17" x14ac:dyDescent="0.2">
      <c r="A2" t="s">
        <v>119</v>
      </c>
      <c r="B2" t="s">
        <v>233</v>
      </c>
      <c r="C2" t="s">
        <v>234</v>
      </c>
      <c r="D2">
        <v>4</v>
      </c>
      <c r="E2" t="s">
        <v>235</v>
      </c>
      <c r="F2" t="s">
        <v>7</v>
      </c>
      <c r="H2" s="1" t="s">
        <v>330</v>
      </c>
      <c r="I2" s="4">
        <v>2.15</v>
      </c>
      <c r="J2" s="4">
        <f>ROM_PLCC[[#This Row],[Qty]]*ROM_PLCC[[#This Row],[Mouser
Unti Price]]</f>
        <v>8.6</v>
      </c>
      <c r="K2" s="4">
        <f>ROM_PLCC[[#This Row],[Mouser
Total Price]]*1.19</f>
        <v>10.234</v>
      </c>
      <c r="M2" s="2"/>
      <c r="N2" s="2"/>
    </row>
    <row r="3" spans="1:17" x14ac:dyDescent="0.2">
      <c r="A3" t="s">
        <v>89</v>
      </c>
      <c r="B3" t="s">
        <v>236</v>
      </c>
      <c r="C3" t="s">
        <v>237</v>
      </c>
      <c r="D3">
        <v>4</v>
      </c>
      <c r="E3" t="s">
        <v>235</v>
      </c>
      <c r="F3" t="s">
        <v>7</v>
      </c>
      <c r="H3" s="1" t="s">
        <v>329</v>
      </c>
      <c r="I3" s="4">
        <v>1.43</v>
      </c>
      <c r="J3" s="4"/>
      <c r="K3" s="4"/>
      <c r="L3" t="s">
        <v>469</v>
      </c>
      <c r="M3" s="2">
        <v>0.5</v>
      </c>
      <c r="N3" s="2">
        <f>ROM_PLCC[[#This Row],[Qty]]*ROM_PLCC[[#This Row],[alt. 
Price]]</f>
        <v>2</v>
      </c>
    </row>
    <row r="4" spans="1:17" x14ac:dyDescent="0.2">
      <c r="A4" t="s">
        <v>10</v>
      </c>
      <c r="B4" t="s">
        <v>13</v>
      </c>
      <c r="C4" t="s">
        <v>14</v>
      </c>
      <c r="D4">
        <v>4</v>
      </c>
      <c r="E4" t="s">
        <v>238</v>
      </c>
      <c r="F4" t="s">
        <v>7</v>
      </c>
      <c r="H4" s="1" t="s">
        <v>281</v>
      </c>
      <c r="I4" s="4">
        <v>8.5999999999999993E-2</v>
      </c>
      <c r="J4" s="4">
        <f>ROM_PLCC[[#This Row],[Qty]]*ROM_PLCC[[#This Row],[Mouser
Unti Price]]</f>
        <v>0.34399999999999997</v>
      </c>
      <c r="K4" s="4">
        <f>ROM_PLCC[[#This Row],[Mouser
Total Price]]*1.19</f>
        <v>0.40935999999999995</v>
      </c>
      <c r="M4" s="2"/>
      <c r="N4" s="2"/>
    </row>
    <row r="5" spans="1:17" x14ac:dyDescent="0.2">
      <c r="A5" t="s">
        <v>241</v>
      </c>
      <c r="B5" t="s">
        <v>242</v>
      </c>
      <c r="D5">
        <v>1</v>
      </c>
      <c r="J5" s="4"/>
      <c r="K5" s="4"/>
      <c r="L5" t="s">
        <v>241</v>
      </c>
      <c r="M5" s="2">
        <f t="shared" ref="M5" si="0">56.12/5</f>
        <v>11.224</v>
      </c>
      <c r="N5" s="2">
        <f>ROM_PLCC[[#This Row],[Qty]]*ROM_PLCC[[#This Row],[alt. 
Price]]</f>
        <v>11.224</v>
      </c>
    </row>
    <row r="6" spans="1:17" x14ac:dyDescent="0.2">
      <c r="I6" s="2"/>
      <c r="J6" s="2">
        <f>SUM(ROM_PLCC[Mouser
Total Price])</f>
        <v>8.9439999999999991</v>
      </c>
      <c r="K6" s="2">
        <f>SUM(ROM_PLCC[Mouser Brutto])</f>
        <v>10.643359999999999</v>
      </c>
      <c r="L6" s="2"/>
      <c r="M6" s="2"/>
      <c r="N6" s="8">
        <f>SUM(ROM_PLCC[Alt. 
Total Price])</f>
        <v>13.224</v>
      </c>
    </row>
    <row r="7" spans="1:17" x14ac:dyDescent="0.2">
      <c r="J7" s="11"/>
      <c r="K7" s="11"/>
      <c r="L7" s="13"/>
      <c r="M7" s="13"/>
      <c r="N7" s="13"/>
      <c r="O7" s="6"/>
      <c r="P7" s="6"/>
      <c r="Q7" s="6"/>
    </row>
    <row r="8" spans="1:17" x14ac:dyDescent="0.2">
      <c r="J8" s="12"/>
      <c r="K8" s="12"/>
      <c r="L8" s="11"/>
      <c r="M8" s="11"/>
      <c r="N8" s="11"/>
    </row>
    <row r="9" spans="1:17" x14ac:dyDescent="0.2">
      <c r="A9" s="10" t="s">
        <v>351</v>
      </c>
      <c r="B9" s="7">
        <f>ROM_PLCC[[#Totals],[Mouser Brutto]]+ROM_PLCC[[#Totals],[Alt. 
Total Price]]</f>
        <v>23.867359999999998</v>
      </c>
      <c r="J9" s="11"/>
      <c r="K9" s="11"/>
      <c r="L9" s="11"/>
      <c r="M9" s="11"/>
      <c r="N9" s="11"/>
    </row>
    <row r="10" spans="1:17" x14ac:dyDescent="0.2">
      <c r="B10" s="2"/>
    </row>
    <row r="11" spans="1:17" x14ac:dyDescent="0.2">
      <c r="B11" s="2"/>
    </row>
    <row r="12" spans="1:17" x14ac:dyDescent="0.2">
      <c r="B12" s="2"/>
    </row>
  </sheetData>
  <hyperlinks>
    <hyperlink ref="H4" r:id="rId1" display="https://www.mouser.de/ProductDetail/KEMET/C1206C104K5RACTU?qs=VbFpUC1cecnmBMAUeCQCPw%3D%3D" xr:uid="{1E359BD0-3267-0F48-B390-A0AFD18E19B3}"/>
    <hyperlink ref="H3" r:id="rId2" display="https://www.mouser.de/ProductDetail/3M/8432-11B1-RK-TP?qs=WZRMhwwaLl%252BJNLwq80awXg%3D%3D" xr:uid="{FC2B507E-FB13-3146-A8B0-22856C3C9AD8}"/>
    <hyperlink ref="H2" r:id="rId3" display="https://www.mouser.de/ProductDetail/Microchip/SST39LF040-55-4C-NHE-T?qs=eTPcRhULBzwLCmdSaWgNMg%3D%3D" xr:uid="{18EC29E1-2F63-0746-8253-FFA034B18D73}"/>
  </hyperlinks>
  <pageMargins left="0.7" right="0.7" top="0.78740157499999996" bottom="0.78740157499999996" header="0.3" footer="0.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127D3-DB68-4D4B-955B-FADD7AB7ABB2}">
  <dimension ref="A1:N11"/>
  <sheetViews>
    <sheetView zoomScaleNormal="100" workbookViewId="0">
      <pane xSplit="3" ySplit="1" topLeftCell="D2" activePane="bottomRight" state="frozen"/>
      <selection activeCell="H2" sqref="H2"/>
      <selection pane="topRight" activeCell="D1" sqref="D1"/>
      <selection pane="bottomLeft" activeCell="A2" sqref="A2"/>
      <selection pane="bottomRight" activeCell="C8" sqref="C8"/>
    </sheetView>
  </sheetViews>
  <sheetFormatPr baseColWidth="10" defaultColWidth="10.83203125" defaultRowHeight="15" x14ac:dyDescent="0.2"/>
  <cols>
    <col min="1" max="1" width="16.5" bestFit="1" customWidth="1"/>
    <col min="2" max="2" width="18.83203125" bestFit="1" customWidth="1"/>
    <col min="3" max="3" width="9.5" bestFit="1" customWidth="1"/>
    <col min="4" max="4" width="9.33203125" bestFit="1" customWidth="1"/>
    <col min="5" max="5" width="7.83203125" bestFit="1" customWidth="1"/>
    <col min="6" max="6" width="11.1640625" bestFit="1" customWidth="1"/>
    <col min="8" max="8" width="19.6640625" bestFit="1" customWidth="1"/>
    <col min="9" max="9" width="10.83203125" style="4"/>
    <col min="11" max="11" width="10.83203125" style="2"/>
    <col min="13" max="13" width="10.83203125" style="4"/>
  </cols>
  <sheetData>
    <row r="1" spans="1:14" ht="32" x14ac:dyDescent="0.2">
      <c r="A1" t="s">
        <v>0</v>
      </c>
      <c r="B1" t="s">
        <v>1</v>
      </c>
      <c r="C1" t="s">
        <v>2</v>
      </c>
      <c r="D1" t="s">
        <v>212</v>
      </c>
      <c r="E1" t="s">
        <v>181</v>
      </c>
      <c r="F1" t="s">
        <v>211</v>
      </c>
      <c r="G1" t="s">
        <v>179</v>
      </c>
      <c r="H1" t="s">
        <v>178</v>
      </c>
      <c r="I1" s="5" t="s">
        <v>354</v>
      </c>
      <c r="J1" s="3" t="s">
        <v>355</v>
      </c>
      <c r="K1" s="31" t="s">
        <v>473</v>
      </c>
      <c r="L1" s="3" t="s">
        <v>345</v>
      </c>
      <c r="M1" s="5" t="s">
        <v>352</v>
      </c>
      <c r="N1" s="3" t="s">
        <v>353</v>
      </c>
    </row>
    <row r="2" spans="1:14" x14ac:dyDescent="0.2">
      <c r="A2" t="s">
        <v>228</v>
      </c>
      <c r="B2" t="s">
        <v>229</v>
      </c>
      <c r="C2" t="s">
        <v>230</v>
      </c>
      <c r="D2">
        <v>6</v>
      </c>
      <c r="E2" t="s">
        <v>231</v>
      </c>
      <c r="F2" t="s">
        <v>7</v>
      </c>
      <c r="H2" s="1" t="s">
        <v>331</v>
      </c>
      <c r="I2" s="4">
        <v>24.71</v>
      </c>
      <c r="J2" s="4">
        <f>SIMM16M[[#This Row],[Qty]]*SIMM16M[[#This Row],[Mouser
Unti Price]]</f>
        <v>148.26</v>
      </c>
      <c r="K2" s="2">
        <f>SIMM16M[[#This Row],[Mouser
Total Price]]*1.19</f>
        <v>176.42939999999999</v>
      </c>
      <c r="N2" s="4"/>
    </row>
    <row r="3" spans="1:14" x14ac:dyDescent="0.2">
      <c r="A3" t="s">
        <v>10</v>
      </c>
      <c r="B3" t="s">
        <v>13</v>
      </c>
      <c r="C3" t="s">
        <v>14</v>
      </c>
      <c r="D3">
        <v>6</v>
      </c>
      <c r="E3" t="s">
        <v>232</v>
      </c>
      <c r="F3" t="s">
        <v>7</v>
      </c>
      <c r="H3" s="1" t="s">
        <v>281</v>
      </c>
      <c r="I3" s="4">
        <v>8.5999999999999993E-2</v>
      </c>
      <c r="J3" s="4">
        <f>SIMM16M[[#This Row],[Qty]]*SIMM16M[[#This Row],[Mouser
Unti Price]]</f>
        <v>0.51600000000000001</v>
      </c>
      <c r="K3" s="2">
        <f>SIMM16M[[#This Row],[Mouser
Total Price]]*1.19</f>
        <v>0.61404000000000003</v>
      </c>
      <c r="N3" s="4"/>
    </row>
    <row r="4" spans="1:14" x14ac:dyDescent="0.2">
      <c r="A4" t="s">
        <v>241</v>
      </c>
      <c r="B4" t="s">
        <v>242</v>
      </c>
      <c r="D4">
        <v>3</v>
      </c>
      <c r="J4" s="4"/>
      <c r="L4" t="s">
        <v>241</v>
      </c>
      <c r="M4" s="4">
        <f t="shared" ref="M4" si="0">59.63/15</f>
        <v>3.9753333333333334</v>
      </c>
      <c r="N4" s="4">
        <f>SIMM16M[[#This Row],[Qty]]*SIMM16M[[#This Row],[alt. 
Price]]</f>
        <v>11.926</v>
      </c>
    </row>
    <row r="5" spans="1:14" x14ac:dyDescent="0.2">
      <c r="J5" s="2">
        <f>SUBTOTAL(109,SIMM16M[Mouser
Total Price])</f>
        <v>148.77599999999998</v>
      </c>
      <c r="K5" s="2">
        <f>SUM(SIMM16M[Mouser Brutto])</f>
        <v>177.04343999999998</v>
      </c>
      <c r="L5" s="2"/>
      <c r="M5" s="2"/>
      <c r="N5" s="8">
        <f>SUM(SIMM16M[Alt. 
Total Price])</f>
        <v>11.926</v>
      </c>
    </row>
    <row r="6" spans="1:14" x14ac:dyDescent="0.2">
      <c r="J6" s="11"/>
      <c r="L6" s="11"/>
      <c r="M6" s="11"/>
      <c r="N6" s="11"/>
    </row>
    <row r="7" spans="1:14" x14ac:dyDescent="0.2">
      <c r="J7" s="12"/>
      <c r="K7" s="8"/>
      <c r="L7" s="11"/>
      <c r="M7" s="11"/>
      <c r="N7" s="11"/>
    </row>
    <row r="8" spans="1:14" x14ac:dyDescent="0.2">
      <c r="A8" s="10" t="s">
        <v>351</v>
      </c>
      <c r="B8" s="2">
        <f>SIMM16M[[#Totals],[Mouser Brutto]]+SIMM16M[[#Totals],[Alt. 
Total Price]]</f>
        <v>188.96943999999996</v>
      </c>
      <c r="C8" s="7"/>
      <c r="J8" s="11"/>
      <c r="L8" s="11"/>
      <c r="M8" s="11"/>
      <c r="N8" s="11"/>
    </row>
    <row r="9" spans="1:14" x14ac:dyDescent="0.2">
      <c r="B9" s="2"/>
    </row>
    <row r="10" spans="1:14" x14ac:dyDescent="0.2">
      <c r="B10" s="2"/>
    </row>
    <row r="11" spans="1:14" x14ac:dyDescent="0.2">
      <c r="B11" s="2"/>
    </row>
  </sheetData>
  <hyperlinks>
    <hyperlink ref="H2" r:id="rId1" display="https://www.mouser.de/ProductDetail/Alliance-Memory/AS6C6416-55TIN?qs=GmNq1OH0n5SzDB5s%252B7Ym0A%3D%3D" xr:uid="{15A828A5-6603-DE45-B3EF-C640F6F9D973}"/>
    <hyperlink ref="H3" r:id="rId2" xr:uid="{4C944979-C27F-6747-8626-6F81432FC95E}"/>
  </hyperlinks>
  <pageMargins left="0.7" right="0.7" top="0.78740157499999996" bottom="0.78740157499999996" header="0.3" footer="0.3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B286F-0EEB-4E0F-B016-82BCB5C2946E}">
  <dimension ref="A1:N15"/>
  <sheetViews>
    <sheetView zoomScaleNormal="100" workbookViewId="0">
      <pane xSplit="3" ySplit="1" topLeftCell="D2" activePane="bottomRight" state="frozen"/>
      <selection activeCell="R3" sqref="R3"/>
      <selection pane="topRight" activeCell="D1" sqref="D1"/>
      <selection pane="bottomLeft" activeCell="A2" sqref="A2"/>
      <selection pane="bottomRight" activeCell="C12" sqref="C12"/>
    </sheetView>
  </sheetViews>
  <sheetFormatPr baseColWidth="10" defaultColWidth="10.83203125" defaultRowHeight="15" x14ac:dyDescent="0.2"/>
  <cols>
    <col min="1" max="2" width="17.83203125" bestFit="1" customWidth="1"/>
    <col min="3" max="4" width="9.33203125" bestFit="1" customWidth="1"/>
    <col min="5" max="5" width="16.33203125" bestFit="1" customWidth="1"/>
    <col min="6" max="6" width="11.1640625" bestFit="1" customWidth="1"/>
    <col min="8" max="8" width="19.83203125" bestFit="1" customWidth="1"/>
    <col min="9" max="9" width="10.83203125" style="4"/>
    <col min="11" max="11" width="10.83203125" style="2"/>
    <col min="12" max="12" width="15.1640625" bestFit="1" customWidth="1"/>
  </cols>
  <sheetData>
    <row r="1" spans="1:14" ht="32" x14ac:dyDescent="0.2">
      <c r="A1" t="s">
        <v>0</v>
      </c>
      <c r="B1" t="s">
        <v>1</v>
      </c>
      <c r="C1" t="s">
        <v>2</v>
      </c>
      <c r="D1" t="s">
        <v>212</v>
      </c>
      <c r="E1" t="s">
        <v>181</v>
      </c>
      <c r="F1" t="s">
        <v>211</v>
      </c>
      <c r="G1" t="s">
        <v>179</v>
      </c>
      <c r="H1" t="s">
        <v>178</v>
      </c>
      <c r="I1" s="5" t="s">
        <v>354</v>
      </c>
      <c r="J1" s="3" t="s">
        <v>355</v>
      </c>
      <c r="K1" s="31" t="s">
        <v>473</v>
      </c>
      <c r="L1" s="3" t="s">
        <v>345</v>
      </c>
      <c r="M1" s="5" t="s">
        <v>352</v>
      </c>
      <c r="N1" s="3" t="s">
        <v>353</v>
      </c>
    </row>
    <row r="2" spans="1:14" x14ac:dyDescent="0.2">
      <c r="A2" t="s">
        <v>145</v>
      </c>
      <c r="B2" t="s">
        <v>213</v>
      </c>
      <c r="C2" t="s">
        <v>14</v>
      </c>
      <c r="D2">
        <v>3</v>
      </c>
      <c r="E2" t="s">
        <v>214</v>
      </c>
      <c r="F2" t="s">
        <v>7</v>
      </c>
      <c r="H2" s="1" t="s">
        <v>335</v>
      </c>
      <c r="I2" s="4">
        <v>0.215</v>
      </c>
      <c r="J2" s="4">
        <f>Programmer[[#This Row],[Qty]]*Programmer[[#This Row],[Mouser
Unti Price]]</f>
        <v>0.64500000000000002</v>
      </c>
      <c r="K2" s="2">
        <f>Programmer[[#This Row],[Mouser
Total Price]]*1.19</f>
        <v>0.76754999999999995</v>
      </c>
      <c r="M2" s="2"/>
      <c r="N2" s="2"/>
    </row>
    <row r="3" spans="1:14" x14ac:dyDescent="0.2">
      <c r="A3" t="s">
        <v>107</v>
      </c>
      <c r="B3" t="s">
        <v>215</v>
      </c>
      <c r="C3" t="s">
        <v>216</v>
      </c>
      <c r="D3">
        <v>3</v>
      </c>
      <c r="E3" t="s">
        <v>217</v>
      </c>
      <c r="F3" t="s">
        <v>7</v>
      </c>
      <c r="H3" s="1" t="s">
        <v>334</v>
      </c>
      <c r="I3" s="4">
        <v>1.19</v>
      </c>
      <c r="J3" s="4"/>
      <c r="L3" s="1" t="s">
        <v>466</v>
      </c>
      <c r="M3" s="2">
        <v>0.99</v>
      </c>
      <c r="N3" s="2">
        <f>Programmer[[#This Row],[Qty]]*Programmer[[#This Row],[alt. 
Price]]</f>
        <v>2.9699999999999998</v>
      </c>
    </row>
    <row r="4" spans="1:14" x14ac:dyDescent="0.2">
      <c r="A4" t="s">
        <v>218</v>
      </c>
      <c r="B4" t="s">
        <v>219</v>
      </c>
      <c r="C4" t="s">
        <v>220</v>
      </c>
      <c r="D4">
        <v>1</v>
      </c>
      <c r="E4" t="s">
        <v>221</v>
      </c>
      <c r="F4" t="s">
        <v>7</v>
      </c>
      <c r="H4" s="1" t="s">
        <v>333</v>
      </c>
      <c r="I4" s="4">
        <v>0.31</v>
      </c>
      <c r="J4" s="4"/>
      <c r="L4" s="18" t="s">
        <v>449</v>
      </c>
      <c r="M4" s="20">
        <v>0.1</v>
      </c>
      <c r="N4" s="20">
        <f>Programmer[[#This Row],[Qty]]*Programmer[[#This Row],[alt. 
Price]]</f>
        <v>0.1</v>
      </c>
    </row>
    <row r="5" spans="1:14" x14ac:dyDescent="0.2">
      <c r="A5" t="s">
        <v>104</v>
      </c>
      <c r="B5" t="s">
        <v>105</v>
      </c>
      <c r="C5" t="s">
        <v>106</v>
      </c>
      <c r="D5">
        <v>1</v>
      </c>
      <c r="E5" t="s">
        <v>222</v>
      </c>
      <c r="F5" t="s">
        <v>7</v>
      </c>
      <c r="H5" s="1" t="s">
        <v>299</v>
      </c>
      <c r="I5" s="4">
        <v>0.25900000000000001</v>
      </c>
      <c r="J5" s="4">
        <f>Programmer[[#This Row],[Qty]]*Programmer[[#This Row],[Mouser
Unti Price]]</f>
        <v>0.25900000000000001</v>
      </c>
      <c r="K5" s="2">
        <f>Programmer[[#This Row],[Mouser
Total Price]]*1.19</f>
        <v>0.30820999999999998</v>
      </c>
      <c r="M5" s="2"/>
      <c r="N5" s="2"/>
    </row>
    <row r="6" spans="1:14" x14ac:dyDescent="0.2">
      <c r="A6" t="s">
        <v>60</v>
      </c>
      <c r="B6" t="s">
        <v>63</v>
      </c>
      <c r="C6" t="s">
        <v>64</v>
      </c>
      <c r="D6">
        <v>1</v>
      </c>
      <c r="E6" t="s">
        <v>223</v>
      </c>
      <c r="F6" t="s">
        <v>7</v>
      </c>
      <c r="H6" s="1" t="s">
        <v>316</v>
      </c>
      <c r="I6" s="4">
        <v>5.27</v>
      </c>
      <c r="J6" s="4">
        <f>Programmer[[#This Row],[Qty]]*Programmer[[#This Row],[Mouser
Unti Price]]</f>
        <v>5.27</v>
      </c>
      <c r="K6" s="2">
        <f>Programmer[[#This Row],[Mouser
Total Price]]*1.19</f>
        <v>6.2712999999999992</v>
      </c>
      <c r="M6" s="2"/>
      <c r="N6" s="2"/>
    </row>
    <row r="7" spans="1:14" x14ac:dyDescent="0.2">
      <c r="A7" t="s">
        <v>224</v>
      </c>
      <c r="B7" t="s">
        <v>225</v>
      </c>
      <c r="C7" t="s">
        <v>226</v>
      </c>
      <c r="D7">
        <v>1</v>
      </c>
      <c r="E7" t="s">
        <v>227</v>
      </c>
      <c r="F7" t="s">
        <v>7</v>
      </c>
      <c r="H7" s="1" t="s">
        <v>332</v>
      </c>
      <c r="I7" s="4">
        <v>3.44</v>
      </c>
      <c r="J7" s="4">
        <f>Programmer[[#This Row],[Qty]]*Programmer[[#This Row],[Mouser
Unti Price]]</f>
        <v>3.44</v>
      </c>
      <c r="K7" s="2">
        <f>Programmer[[#This Row],[Mouser
Total Price]]*1.19</f>
        <v>4.0935999999999995</v>
      </c>
      <c r="M7" s="2"/>
      <c r="N7" s="2"/>
    </row>
    <row r="8" spans="1:14" x14ac:dyDescent="0.2">
      <c r="A8" t="s">
        <v>241</v>
      </c>
      <c r="B8" t="s">
        <v>242</v>
      </c>
      <c r="D8">
        <v>1</v>
      </c>
      <c r="J8" s="4"/>
      <c r="L8" t="s">
        <v>241</v>
      </c>
      <c r="M8" s="2">
        <f t="shared" ref="M8" si="0">1.71/5</f>
        <v>0.34199999999999997</v>
      </c>
      <c r="N8" s="2">
        <f>Programmer[[#This Row],[Qty]]*Programmer[[#This Row],[alt. 
Price]]</f>
        <v>0.34199999999999997</v>
      </c>
    </row>
    <row r="9" spans="1:14" x14ac:dyDescent="0.2">
      <c r="J9" s="2">
        <f>SUBTOTAL(109,Programmer[Mouser
Total Price])</f>
        <v>9.613999999999999</v>
      </c>
      <c r="K9" s="2">
        <f>SUM(Programmer[Mouser Brutto])</f>
        <v>11.440659999999998</v>
      </c>
      <c r="L9" s="2"/>
      <c r="M9" s="2"/>
      <c r="N9" s="8">
        <f>SUM(Programmer[Alt. 
Total Price])</f>
        <v>3.4119999999999999</v>
      </c>
    </row>
    <row r="10" spans="1:14" x14ac:dyDescent="0.2">
      <c r="J10" s="11"/>
      <c r="L10" s="2"/>
      <c r="M10" s="2"/>
      <c r="N10" s="2"/>
    </row>
    <row r="11" spans="1:14" x14ac:dyDescent="0.2">
      <c r="J11" s="12"/>
      <c r="K11" s="8"/>
      <c r="L11" s="2"/>
      <c r="M11" s="2"/>
      <c r="N11" s="2"/>
    </row>
    <row r="12" spans="1:14" x14ac:dyDescent="0.2">
      <c r="A12" s="10" t="s">
        <v>351</v>
      </c>
      <c r="B12" s="7">
        <f>Programmer[[#Totals],[Mouser Brutto]]+Programmer[[#Totals],[Alt. 
Total Price]]</f>
        <v>14.852659999999997</v>
      </c>
      <c r="J12" s="11"/>
      <c r="L12" s="11"/>
      <c r="M12" s="11"/>
      <c r="N12" s="11"/>
    </row>
    <row r="13" spans="1:14" x14ac:dyDescent="0.2">
      <c r="B13" s="2"/>
    </row>
    <row r="14" spans="1:14" x14ac:dyDescent="0.2">
      <c r="B14" s="2"/>
    </row>
    <row r="15" spans="1:14" x14ac:dyDescent="0.2">
      <c r="B15" s="2"/>
    </row>
  </sheetData>
  <hyperlinks>
    <hyperlink ref="H7" r:id="rId1" display="https://www.mouser.de/ProductDetail/Raspberry-Pi/SC0915?qs=T%252BzbugeAwjgnLi4azxXVFA%3D%3D" xr:uid="{86AE6B7B-FCD7-DD42-BB3D-C357B2A18685}"/>
    <hyperlink ref="H6" r:id="rId2" display="https://www.mouser.de/ProductDetail/TE-Connectivity/5822030-3?qs=VZ9FDhhp7Slpu686fNrT6A%3D%3D" xr:uid="{DCEB644D-B28B-7A44-AD19-02FDD288853D}"/>
    <hyperlink ref="H5" r:id="rId3" display="https://www.mouser.de/ProductDetail/Alps-Alpine/SKHHARA010?qs=seHrhfPpLDx%252BIZL0Z0bB2Q%3D%3D" xr:uid="{9B8F2AEB-2605-3944-9EA4-71A4679226EE}"/>
    <hyperlink ref="H4" r:id="rId4" display="https://www.mouser.de/ProductDetail/Bourns/4609X-101-102LF?qs=nFt9sTYf7TAKYPPrg1sLvw%3D%3D" xr:uid="{95803EB5-5DF6-BF47-94E2-D6575175492C}"/>
    <hyperlink ref="H3" r:id="rId5" display="https://www.mouser.de/ProductDetail/Texas-Instruments/SN74HC273N?qs=WzgTT80quPHVX8D0%252BDpSlA%3D%3D" xr:uid="{B73ABB8A-2331-A74A-863A-21D6B2A52447}"/>
    <hyperlink ref="H2" r:id="rId6" display="https://www.mouser.de/ProductDetail/Vishay/K104K10X7RF53H5?qs=fflMSwnno4x9bs4LC2tdMA%3D%3D" xr:uid="{02E75B62-957E-854A-8BAD-1CF826E55737}"/>
    <hyperlink ref="L3" r:id="rId7" xr:uid="{1B818328-5D24-8C4B-A531-40D051C26EEE}"/>
    <hyperlink ref="L4" r:id="rId8" xr:uid="{7395D9E0-5B43-4541-8A41-4DE207E422F6}"/>
  </hyperlinks>
  <pageMargins left="0.7" right="0.7" top="0.78740157499999996" bottom="0.78740157499999996" header="0.3" footer="0.3"/>
  <tableParts count="1"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30686-2A27-4291-8ADF-C4B7219F6425}">
  <dimension ref="A1:N11"/>
  <sheetViews>
    <sheetView workbookViewId="0">
      <pane xSplit="3" ySplit="1" topLeftCell="D2" activePane="bottomRight" state="frozen"/>
      <selection activeCell="R3" sqref="R3"/>
      <selection pane="topRight" activeCell="D1" sqref="D1"/>
      <selection pane="bottomLeft" activeCell="A2" sqref="A2"/>
      <selection pane="bottomRight" activeCell="C8" sqref="C8"/>
    </sheetView>
  </sheetViews>
  <sheetFormatPr baseColWidth="10" defaultColWidth="10.83203125" defaultRowHeight="15" x14ac:dyDescent="0.2"/>
  <cols>
    <col min="1" max="1" width="15.5" bestFit="1" customWidth="1"/>
    <col min="2" max="2" width="19.1640625" bestFit="1" customWidth="1"/>
    <col min="3" max="3" width="19.1640625" customWidth="1"/>
    <col min="4" max="4" width="7.33203125" bestFit="1" customWidth="1"/>
    <col min="5" max="5" width="11.33203125" customWidth="1"/>
    <col min="6" max="6" width="25.5" bestFit="1" customWidth="1"/>
    <col min="7" max="7" width="11.1640625" bestFit="1" customWidth="1"/>
    <col min="8" max="8" width="16.6640625" bestFit="1" customWidth="1"/>
    <col min="9" max="9" width="10.83203125" style="4"/>
    <col min="11" max="11" width="10.83203125" style="2"/>
    <col min="12" max="12" width="18.6640625" bestFit="1" customWidth="1"/>
  </cols>
  <sheetData>
    <row r="1" spans="1:14" ht="32" x14ac:dyDescent="0.2">
      <c r="A1" t="s">
        <v>0</v>
      </c>
      <c r="B1" t="s">
        <v>1</v>
      </c>
      <c r="C1" t="s">
        <v>240</v>
      </c>
      <c r="D1" t="s">
        <v>180</v>
      </c>
      <c r="E1" t="s">
        <v>203</v>
      </c>
      <c r="F1" t="s">
        <v>3</v>
      </c>
      <c r="G1" t="s">
        <v>179</v>
      </c>
      <c r="H1" t="s">
        <v>178</v>
      </c>
      <c r="I1" s="5" t="s">
        <v>354</v>
      </c>
      <c r="J1" s="3" t="s">
        <v>355</v>
      </c>
      <c r="K1" s="31" t="s">
        <v>473</v>
      </c>
      <c r="L1" s="3" t="s">
        <v>345</v>
      </c>
      <c r="M1" s="5" t="s">
        <v>352</v>
      </c>
      <c r="N1" s="3" t="s">
        <v>353</v>
      </c>
    </row>
    <row r="2" spans="1:14" x14ac:dyDescent="0.2">
      <c r="A2" t="s">
        <v>204</v>
      </c>
      <c r="B2" t="s">
        <v>337</v>
      </c>
      <c r="D2">
        <v>1</v>
      </c>
      <c r="E2" t="s">
        <v>205</v>
      </c>
      <c r="F2" t="s">
        <v>206</v>
      </c>
      <c r="G2" t="s">
        <v>7</v>
      </c>
      <c r="H2" s="1" t="s">
        <v>336</v>
      </c>
      <c r="I2" s="4">
        <v>6.27</v>
      </c>
      <c r="J2" s="4">
        <f>IDESWP[[#This Row],[ Qty ]]*IDESWP[[#This Row],[Mouser
Unti Price]]</f>
        <v>6.27</v>
      </c>
      <c r="K2" s="2">
        <f>IDESWP[[#This Row],[Mouser
Total Price]]*1.19</f>
        <v>7.4612999999999996</v>
      </c>
      <c r="M2" s="2"/>
      <c r="N2" s="2"/>
    </row>
    <row r="3" spans="1:14" x14ac:dyDescent="0.2">
      <c r="A3" t="s">
        <v>208</v>
      </c>
      <c r="B3" t="s">
        <v>209</v>
      </c>
      <c r="D3">
        <v>1</v>
      </c>
      <c r="E3" t="s">
        <v>207</v>
      </c>
      <c r="F3" t="s">
        <v>210</v>
      </c>
      <c r="G3" t="s">
        <v>7</v>
      </c>
      <c r="H3" s="1" t="s">
        <v>338</v>
      </c>
      <c r="I3" s="4">
        <v>4.17</v>
      </c>
      <c r="J3" s="4"/>
      <c r="L3" s="1" t="s">
        <v>467</v>
      </c>
      <c r="M3" s="2">
        <v>1.1000000000000001</v>
      </c>
      <c r="N3" s="2">
        <f>IDESWP[[#This Row],[ Qty ]]*IDESWP[[#This Row],[alt. 
Price]]</f>
        <v>1.1000000000000001</v>
      </c>
    </row>
    <row r="4" spans="1:14" x14ac:dyDescent="0.2">
      <c r="A4" t="s">
        <v>241</v>
      </c>
      <c r="B4" t="s">
        <v>242</v>
      </c>
      <c r="D4">
        <v>1</v>
      </c>
      <c r="J4" s="4"/>
      <c r="L4" t="s">
        <v>241</v>
      </c>
      <c r="M4" s="2">
        <f t="shared" ref="M4" si="0">12.71/5</f>
        <v>2.5420000000000003</v>
      </c>
      <c r="N4" s="2">
        <f>IDESWP[[#This Row],[ Qty ]]*IDESWP[[#This Row],[alt. 
Price]]</f>
        <v>2.5420000000000003</v>
      </c>
    </row>
    <row r="5" spans="1:14" x14ac:dyDescent="0.2">
      <c r="J5" s="2">
        <f>SUBTOTAL(109,IDESWP[Mouser
Total Price])</f>
        <v>6.27</v>
      </c>
      <c r="K5" s="2">
        <f>SUM(IDESWP[Mouser Brutto])</f>
        <v>7.4612999999999996</v>
      </c>
      <c r="L5" s="2"/>
      <c r="M5" s="2"/>
      <c r="N5" s="8">
        <f>SUM(IDESWP[Alt. 
Total Price])</f>
        <v>3.6420000000000003</v>
      </c>
    </row>
    <row r="6" spans="1:14" x14ac:dyDescent="0.2">
      <c r="J6" s="2"/>
      <c r="L6" s="2"/>
      <c r="M6" s="2"/>
      <c r="N6" s="2"/>
    </row>
    <row r="7" spans="1:14" x14ac:dyDescent="0.2">
      <c r="J7" s="8"/>
      <c r="K7" s="8"/>
      <c r="L7" s="2"/>
      <c r="M7" s="2"/>
      <c r="N7" s="2"/>
    </row>
    <row r="8" spans="1:14" x14ac:dyDescent="0.2">
      <c r="A8" s="10" t="s">
        <v>351</v>
      </c>
      <c r="B8" s="7">
        <f>IDESWP[[#Totals],[Mouser Brutto]]+IDESWP[[#Totals],[Alt. 
Total Price]]</f>
        <v>11.103300000000001</v>
      </c>
    </row>
    <row r="9" spans="1:14" x14ac:dyDescent="0.2">
      <c r="B9" s="2"/>
    </row>
    <row r="10" spans="1:14" x14ac:dyDescent="0.2">
      <c r="B10" s="2"/>
    </row>
    <row r="11" spans="1:14" x14ac:dyDescent="0.2">
      <c r="B11" s="2"/>
    </row>
  </sheetData>
  <hyperlinks>
    <hyperlink ref="H2" r:id="rId1" display="https://www.mouser.de/ProductDetail/Samtec/SQT-122-01-L-D-RA?qs=92ilVni64gzj%252BY5f5g73%2FQ%3D%3D" xr:uid="{25D77AA7-51EF-C949-897C-D5683E720032}"/>
    <hyperlink ref="H3" r:id="rId2" display="https://www.mouser.de/ProductDetail/Molex/87833-4420?qs=7wMBv%2Ftbz9I%252BxM51SHOPlg%3D%3D" xr:uid="{D986741E-12BD-1444-BCA5-1AA65C88E7E5}"/>
    <hyperlink ref="L3" r:id="rId3" xr:uid="{5C1C6C0D-6D71-2D4A-B00D-EB9C8F982DC9}"/>
  </hyperlinks>
  <pageMargins left="0.7" right="0.7" top="0.78740157499999996" bottom="0.78740157499999996" header="0.3" footer="0.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DBCB-06F7-410C-8E34-472650C42C5C}">
  <dimension ref="A1:N17"/>
  <sheetViews>
    <sheetView workbookViewId="0">
      <pane xSplit="3" ySplit="1" topLeftCell="D2" activePane="bottomRight" state="frozen"/>
      <selection activeCell="R3" sqref="R3"/>
      <selection pane="topRight" activeCell="D1" sqref="D1"/>
      <selection pane="bottomLeft" activeCell="A2" sqref="A2"/>
      <selection pane="bottomRight" activeCell="C14" sqref="C14"/>
    </sheetView>
  </sheetViews>
  <sheetFormatPr baseColWidth="10" defaultColWidth="10.83203125" defaultRowHeight="15" x14ac:dyDescent="0.2"/>
  <cols>
    <col min="1" max="1" width="15.5" bestFit="1" customWidth="1"/>
    <col min="2" max="2" width="18.83203125" bestFit="1" customWidth="1"/>
    <col min="3" max="3" width="9.33203125" bestFit="1" customWidth="1"/>
    <col min="4" max="4" width="7.33203125" bestFit="1" customWidth="1"/>
    <col min="5" max="5" width="20.33203125" bestFit="1" customWidth="1"/>
    <col min="6" max="6" width="20.33203125" customWidth="1"/>
    <col min="7" max="7" width="8.6640625" bestFit="1" customWidth="1"/>
    <col min="8" max="8" width="17.83203125" bestFit="1" customWidth="1"/>
    <col min="9" max="9" width="10.83203125" style="4"/>
    <col min="11" max="11" width="10.83203125" style="2"/>
    <col min="12" max="12" width="19" bestFit="1" customWidth="1"/>
    <col min="13" max="13" width="10.1640625" customWidth="1"/>
  </cols>
  <sheetData>
    <row r="1" spans="1:14" ht="32" x14ac:dyDescent="0.2">
      <c r="A1" t="s">
        <v>0</v>
      </c>
      <c r="B1" t="s">
        <v>1</v>
      </c>
      <c r="C1" t="s">
        <v>2</v>
      </c>
      <c r="D1" t="s">
        <v>180</v>
      </c>
      <c r="E1" t="s">
        <v>181</v>
      </c>
      <c r="F1" t="s">
        <v>211</v>
      </c>
      <c r="G1" t="s">
        <v>179</v>
      </c>
      <c r="H1" t="s">
        <v>178</v>
      </c>
      <c r="I1" s="5" t="s">
        <v>354</v>
      </c>
      <c r="J1" s="3" t="s">
        <v>355</v>
      </c>
      <c r="K1" s="31" t="s">
        <v>473</v>
      </c>
      <c r="L1" s="3" t="s">
        <v>345</v>
      </c>
      <c r="M1" s="5" t="s">
        <v>352</v>
      </c>
      <c r="N1" s="3" t="s">
        <v>346</v>
      </c>
    </row>
    <row r="2" spans="1:14" x14ac:dyDescent="0.2">
      <c r="A2" t="s">
        <v>182</v>
      </c>
      <c r="B2" t="s">
        <v>183</v>
      </c>
      <c r="C2" t="s">
        <v>183</v>
      </c>
      <c r="D2">
        <v>1</v>
      </c>
      <c r="E2" t="s">
        <v>184</v>
      </c>
      <c r="H2" t="s">
        <v>7</v>
      </c>
      <c r="J2" s="4"/>
      <c r="L2" s="9" t="s">
        <v>344</v>
      </c>
      <c r="M2" s="2">
        <f>19.85/10</f>
        <v>1.9850000000000001</v>
      </c>
      <c r="N2" s="2">
        <f>CKBD[[#This Row],[ Qty ]]*CKBD[[#This Row],[alt. 
Price]]</f>
        <v>1.9850000000000001</v>
      </c>
    </row>
    <row r="3" spans="1:14" x14ac:dyDescent="0.2">
      <c r="A3" t="s">
        <v>19</v>
      </c>
      <c r="B3" t="s">
        <v>20</v>
      </c>
      <c r="C3" t="s">
        <v>185</v>
      </c>
      <c r="D3">
        <v>3</v>
      </c>
      <c r="E3" t="s">
        <v>186</v>
      </c>
      <c r="H3" s="1" t="s">
        <v>350</v>
      </c>
      <c r="I3" s="4">
        <v>8.5999999999999993E-2</v>
      </c>
      <c r="J3" s="4">
        <f>CKBD[[#This Row],[ Qty ]]*CKBD[[#This Row],[Mouser
Unti Price]]</f>
        <v>0.25800000000000001</v>
      </c>
      <c r="K3" s="2">
        <f>CKBD[[#This Row],[Mouser
Total Price]]*1.19</f>
        <v>0.30702000000000002</v>
      </c>
      <c r="M3" s="2"/>
      <c r="N3" s="2"/>
    </row>
    <row r="4" spans="1:14" x14ac:dyDescent="0.2">
      <c r="A4" t="s">
        <v>19</v>
      </c>
      <c r="B4" t="s">
        <v>26</v>
      </c>
      <c r="C4" t="s">
        <v>187</v>
      </c>
      <c r="D4">
        <v>4</v>
      </c>
      <c r="E4" t="s">
        <v>188</v>
      </c>
      <c r="H4" s="1" t="s">
        <v>341</v>
      </c>
      <c r="I4" s="4">
        <v>0.13800000000000001</v>
      </c>
      <c r="J4" s="4">
        <f>CKBD[[#This Row],[ Qty ]]*CKBD[[#This Row],[Mouser
Unti Price]]</f>
        <v>0.55200000000000005</v>
      </c>
      <c r="K4" s="2">
        <f>CKBD[[#This Row],[Mouser
Total Price]]*1.19</f>
        <v>0.65688000000000002</v>
      </c>
      <c r="M4" s="2"/>
      <c r="N4" s="2"/>
    </row>
    <row r="5" spans="1:14" x14ac:dyDescent="0.2">
      <c r="A5" t="s">
        <v>10</v>
      </c>
      <c r="B5" t="s">
        <v>11</v>
      </c>
      <c r="C5" t="s">
        <v>12</v>
      </c>
      <c r="D5">
        <v>2</v>
      </c>
      <c r="E5" t="s">
        <v>189</v>
      </c>
      <c r="H5" s="1" t="s">
        <v>340</v>
      </c>
      <c r="I5" s="4">
        <v>0.10299999999999999</v>
      </c>
      <c r="J5" s="4">
        <f>CKBD[[#This Row],[ Qty ]]*CKBD[[#This Row],[Mouser
Unti Price]]</f>
        <v>0.20599999999999999</v>
      </c>
      <c r="K5" s="2">
        <f>CKBD[[#This Row],[Mouser
Total Price]]*1.19</f>
        <v>0.24513999999999997</v>
      </c>
      <c r="M5" s="2"/>
      <c r="N5" s="2"/>
    </row>
    <row r="6" spans="1:14" x14ac:dyDescent="0.2">
      <c r="A6" t="s">
        <v>10</v>
      </c>
      <c r="B6" t="s">
        <v>13</v>
      </c>
      <c r="C6" t="s">
        <v>14</v>
      </c>
      <c r="D6">
        <v>2</v>
      </c>
      <c r="E6" t="s">
        <v>190</v>
      </c>
      <c r="H6" s="1" t="s">
        <v>281</v>
      </c>
      <c r="I6" s="4">
        <v>8.5999999999999993E-2</v>
      </c>
      <c r="J6" s="4">
        <f>CKBD[[#This Row],[ Qty ]]*CKBD[[#This Row],[Mouser
Unti Price]]</f>
        <v>0.17199999999999999</v>
      </c>
      <c r="K6" s="2">
        <f>CKBD[[#This Row],[Mouser
Total Price]]*1.19</f>
        <v>0.20467999999999997</v>
      </c>
      <c r="M6" s="2"/>
      <c r="N6" s="2"/>
    </row>
    <row r="7" spans="1:14" x14ac:dyDescent="0.2">
      <c r="A7" t="s">
        <v>10</v>
      </c>
      <c r="B7" t="s">
        <v>191</v>
      </c>
      <c r="C7" t="s">
        <v>192</v>
      </c>
      <c r="D7">
        <v>1</v>
      </c>
      <c r="E7" t="s">
        <v>193</v>
      </c>
      <c r="H7" s="1" t="s">
        <v>339</v>
      </c>
      <c r="I7" s="4">
        <v>0.20599999999999999</v>
      </c>
      <c r="J7" s="4">
        <f>CKBD[[#This Row],[ Qty ]]*CKBD[[#This Row],[Mouser
Unti Price]]</f>
        <v>0.20599999999999999</v>
      </c>
      <c r="K7" s="2">
        <f>CKBD[[#This Row],[Mouser
Total Price]]*1.19</f>
        <v>0.24513999999999997</v>
      </c>
      <c r="M7" s="2"/>
      <c r="N7" s="2"/>
    </row>
    <row r="8" spans="1:14" x14ac:dyDescent="0.2">
      <c r="A8" t="s">
        <v>194</v>
      </c>
      <c r="B8" t="s">
        <v>195</v>
      </c>
      <c r="C8" t="s">
        <v>196</v>
      </c>
      <c r="D8">
        <v>2</v>
      </c>
      <c r="E8" t="s">
        <v>197</v>
      </c>
      <c r="H8" t="s">
        <v>7</v>
      </c>
      <c r="J8" s="4"/>
      <c r="L8" s="1" t="s">
        <v>470</v>
      </c>
      <c r="M8" s="2">
        <v>1.1499999999999999</v>
      </c>
      <c r="N8" s="2">
        <f>CKBD[[#This Row],[ Qty ]]*CKBD[[#This Row],[alt. 
Price]]</f>
        <v>2.2999999999999998</v>
      </c>
    </row>
    <row r="9" spans="1:14" x14ac:dyDescent="0.2">
      <c r="A9" t="s">
        <v>194</v>
      </c>
      <c r="B9" t="s">
        <v>198</v>
      </c>
      <c r="C9" t="s">
        <v>199</v>
      </c>
      <c r="D9">
        <v>1</v>
      </c>
      <c r="E9" t="s">
        <v>200</v>
      </c>
      <c r="H9" t="s">
        <v>7</v>
      </c>
      <c r="J9" s="4"/>
      <c r="L9" s="1" t="s">
        <v>471</v>
      </c>
      <c r="M9" s="2">
        <v>0.4</v>
      </c>
      <c r="N9" s="2">
        <f>CKBD[[#This Row],[ Qty ]]*CKBD[[#This Row],[alt. 
Price]]</f>
        <v>0.4</v>
      </c>
    </row>
    <row r="10" spans="1:14" x14ac:dyDescent="0.2">
      <c r="A10" t="s">
        <v>194</v>
      </c>
      <c r="B10" t="s">
        <v>198</v>
      </c>
      <c r="C10" t="s">
        <v>201</v>
      </c>
      <c r="D10">
        <v>1</v>
      </c>
      <c r="E10" t="s">
        <v>202</v>
      </c>
      <c r="H10" t="s">
        <v>7</v>
      </c>
      <c r="J10" s="4"/>
      <c r="L10" s="1" t="s">
        <v>472</v>
      </c>
      <c r="M10" s="2">
        <v>0.15</v>
      </c>
      <c r="N10" s="2">
        <f>CKBD[[#This Row],[ Qty ]]*CKBD[[#This Row],[alt. 
Price]]</f>
        <v>0.15</v>
      </c>
    </row>
    <row r="11" spans="1:14" x14ac:dyDescent="0.2">
      <c r="A11" t="s">
        <v>241</v>
      </c>
      <c r="B11" t="s">
        <v>242</v>
      </c>
      <c r="D11">
        <v>1</v>
      </c>
      <c r="J11" s="4"/>
      <c r="L11" t="s">
        <v>241</v>
      </c>
      <c r="M11" s="2">
        <f t="shared" ref="M11" si="0">12.54/10</f>
        <v>1.254</v>
      </c>
      <c r="N11" s="2">
        <f>CKBD[[#This Row],[ Qty ]]*CKBD[[#This Row],[alt. 
Price]]</f>
        <v>1.254</v>
      </c>
    </row>
    <row r="12" spans="1:14" x14ac:dyDescent="0.2">
      <c r="J12" s="2">
        <f>SUM(CKBD[Mouser
Total Price])</f>
        <v>1.3939999999999999</v>
      </c>
      <c r="K12" s="2">
        <f>SUM(CKBD[Mouser Brutto])</f>
        <v>1.6588599999999998</v>
      </c>
      <c r="L12" s="2"/>
      <c r="M12" s="2"/>
      <c r="N12" s="8">
        <f>SUM(CKBD[Alt. Total Price])</f>
        <v>6.0890000000000004</v>
      </c>
    </row>
    <row r="13" spans="1:14" x14ac:dyDescent="0.2">
      <c r="J13" s="2"/>
      <c r="L13" s="2"/>
      <c r="M13" s="2"/>
      <c r="N13" s="2"/>
    </row>
    <row r="14" spans="1:14" x14ac:dyDescent="0.2">
      <c r="A14" s="10" t="s">
        <v>351</v>
      </c>
      <c r="B14" s="7">
        <f>CKBD[[#Totals],[Mouser Brutto]]+CKBD[[#Totals],[Alt. Total Price]]</f>
        <v>7.7478600000000002</v>
      </c>
      <c r="J14" s="8"/>
      <c r="K14" s="8"/>
      <c r="L14" s="2"/>
      <c r="M14" s="2"/>
      <c r="N14" s="2"/>
    </row>
    <row r="15" spans="1:14" x14ac:dyDescent="0.2">
      <c r="B15" s="2"/>
      <c r="J15" s="2"/>
      <c r="L15" s="2"/>
      <c r="M15" s="2"/>
      <c r="N15" s="2"/>
    </row>
    <row r="16" spans="1:14" x14ac:dyDescent="0.2">
      <c r="B16" s="2"/>
      <c r="J16" s="2"/>
      <c r="L16" s="2"/>
      <c r="M16" s="2"/>
      <c r="N16" s="2"/>
    </row>
    <row r="17" spans="2:2" x14ac:dyDescent="0.2">
      <c r="B17" s="2"/>
    </row>
  </sheetData>
  <hyperlinks>
    <hyperlink ref="H7" r:id="rId1" display="https://www.mouser.de/ProductDetail/KEMET/C1206C334K5RACTU?qs=r%2FVmNO8Tjq4PWFHaB3s1oA%3D%3D" xr:uid="{556605CE-91C1-D048-90F5-903C24D585F7}"/>
    <hyperlink ref="H6" r:id="rId2" display="https://www.mouser.de/ProductDetail/KEMET/C1206C104K5RACTU?qs=VbFpUC1cecnmBMAUeCQCPw%3D%3D" xr:uid="{5E075795-FF62-B54C-A874-E3D63706BE3A}"/>
    <hyperlink ref="H5" r:id="rId3" display="https://www.mouser.de/ProductDetail/KEMET/C1206C105K4RAC?qs=esDHISMOsl1e4qSv4fn%2FRQ%3D%3D" xr:uid="{23069949-F935-3C43-846A-CE41320AD199}"/>
    <hyperlink ref="H4" r:id="rId4" display="https://www.mouser.de/ProductDetail/YAGEO/RT1206FRE131KL?qs=Fz%2FrpjPuTcEcspLF9a%252BDvQ%3D%3D" xr:uid="{E6B13175-ACC8-7D4A-8F36-FBE9ECFC4774}"/>
    <hyperlink ref="H3" r:id="rId5" xr:uid="{3A9038E9-0937-C346-A87B-4D425177C8AE}"/>
    <hyperlink ref="L2" r:id="rId6" xr:uid="{080D7187-C20D-E849-ADA0-C8653D644D2C}"/>
    <hyperlink ref="L9" r:id="rId7" xr:uid="{62916CDE-E7C6-0442-AC60-05CE71076E85}"/>
    <hyperlink ref="L10" r:id="rId8" xr:uid="{AECB1C84-89B8-B349-BE39-465ACDC6DA3A}"/>
  </hyperlinks>
  <pageMargins left="0.7" right="0.7" top="0.78740157499999996" bottom="0.78740157499999996" header="0.3" footer="0.3"/>
  <tableParts count="1">
    <tablePart r:id="rId9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B9619-F03C-4D38-9834-54C7B79667EC}">
  <dimension ref="A1:B12"/>
  <sheetViews>
    <sheetView workbookViewId="0">
      <selection activeCell="C9" sqref="C9"/>
    </sheetView>
  </sheetViews>
  <sheetFormatPr baseColWidth="10" defaultColWidth="10.83203125" defaultRowHeight="15" x14ac:dyDescent="0.2"/>
  <cols>
    <col min="1" max="1" width="13.6640625" bestFit="1" customWidth="1"/>
    <col min="2" max="2" width="12.6640625" style="2" customWidth="1"/>
  </cols>
  <sheetData>
    <row r="1" spans="1:2" x14ac:dyDescent="0.2">
      <c r="A1" s="10" t="s">
        <v>362</v>
      </c>
      <c r="B1" s="7" t="s">
        <v>363</v>
      </c>
    </row>
    <row r="2" spans="1:2" x14ac:dyDescent="0.2">
      <c r="A2" t="s">
        <v>356</v>
      </c>
      <c r="B2" s="2">
        <f>raven_a1_bom[[#Totals],[Mouser Brutto]]+raven_a1_bom[[#Totals],[Alt. 
Total Price]]</f>
        <v>325.647605</v>
      </c>
    </row>
    <row r="3" spans="1:2" x14ac:dyDescent="0.2">
      <c r="A3" t="s">
        <v>357</v>
      </c>
      <c r="B3" s="2">
        <f>ROM_PLCC[[#Totals],[Mouser Brutto]]+ROM_PLCC[[#Totals],[Alt. 
Total Price]]</f>
        <v>23.867359999999998</v>
      </c>
    </row>
    <row r="4" spans="1:2" x14ac:dyDescent="0.2">
      <c r="A4" t="s">
        <v>358</v>
      </c>
      <c r="B4" s="2">
        <f>SIMM16M[[#Totals],[Mouser Brutto]]+SIMM16M[[#Totals],[Alt. 
Total Price]]</f>
        <v>188.96943999999996</v>
      </c>
    </row>
    <row r="5" spans="1:2" x14ac:dyDescent="0.2">
      <c r="A5" t="s">
        <v>359</v>
      </c>
      <c r="B5" s="2">
        <f>Programmer[[#Totals],[Mouser Brutto]]+Programmer[[#Totals],[Alt. 
Total Price]]</f>
        <v>14.852659999999997</v>
      </c>
    </row>
    <row r="6" spans="1:2" x14ac:dyDescent="0.2">
      <c r="A6" t="s">
        <v>360</v>
      </c>
      <c r="B6" s="2">
        <f>IDESWP[[#Totals],[Mouser Brutto]]+IDESWP[[#Totals],[Alt. 
Total Price]]</f>
        <v>11.103300000000001</v>
      </c>
    </row>
    <row r="7" spans="1:2" x14ac:dyDescent="0.2">
      <c r="A7" t="s">
        <v>361</v>
      </c>
      <c r="B7" s="2">
        <f>CKBD[[#Totals],[Mouser Brutto]]+CKBD[[#Totals],[Alt. Total Price]]</f>
        <v>7.7478600000000002</v>
      </c>
    </row>
    <row r="8" spans="1:2" x14ac:dyDescent="0.2">
      <c r="A8" t="s">
        <v>468</v>
      </c>
      <c r="B8" s="2">
        <v>5.95</v>
      </c>
    </row>
    <row r="9" spans="1:2" x14ac:dyDescent="0.2">
      <c r="B9" s="8">
        <f>SUM(B2:B8)</f>
        <v>578.13822499999992</v>
      </c>
    </row>
    <row r="12" spans="1:2" x14ac:dyDescent="0.2">
      <c r="A12" s="10"/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1DC9C5-D363-4C9C-8749-D4E5758B00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raven-a1_bom</vt:lpstr>
      <vt:lpstr>ROM_PLCC</vt:lpstr>
      <vt:lpstr>SIMM16M</vt:lpstr>
      <vt:lpstr>Programmer</vt:lpstr>
      <vt:lpstr>IDESWP</vt:lpstr>
      <vt:lpstr>CKBD</vt:lpstr>
      <vt:lpstr>Zusammenfassung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Meincke</dc:creator>
  <cp:lastModifiedBy>Michael Meincke</cp:lastModifiedBy>
  <dcterms:created xsi:type="dcterms:W3CDTF">2015-06-05T18:19:34Z</dcterms:created>
  <dcterms:modified xsi:type="dcterms:W3CDTF">2025-10-05T14:42:59Z</dcterms:modified>
</cp:coreProperties>
</file>